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400" windowHeight="10035" firstSheet="1" activeTab="1"/>
  </bookViews>
  <sheets>
    <sheet name="US$" sheetId="1" state="hidden" r:id="rId1"/>
    <sheet name="Fluxo" sheetId="2" r:id="rId2"/>
    <sheet name="Fluxo Anual" sheetId="3" r:id="rId3"/>
    <sheet name="Posição da carteira - mensal" sheetId="4" r:id="rId4"/>
    <sheet name="Posição da carteira - anual" sheetId="5" r:id="rId5"/>
    <sheet name="Valor investimentos - mensal" sheetId="6" r:id="rId6"/>
    <sheet name="Valor investimentos - anual" sheetId="7" r:id="rId7"/>
  </sheets>
  <definedNames/>
  <calcPr fullCalcOnLoad="1"/>
</workbook>
</file>

<file path=xl/sharedStrings.xml><?xml version="1.0" encoding="utf-8"?>
<sst xmlns="http://schemas.openxmlformats.org/spreadsheetml/2006/main" count="101" uniqueCount="54">
  <si>
    <t>Mês</t>
  </si>
  <si>
    <t>Renda Fixa (%)</t>
  </si>
  <si>
    <t>Moedas de Privatização (%)</t>
  </si>
  <si>
    <t>Ações (%)</t>
  </si>
  <si>
    <t>Derivativos (%)</t>
  </si>
  <si>
    <t>Debêntures (%)</t>
  </si>
  <si>
    <t>Outros (%)</t>
  </si>
  <si>
    <t>Ano</t>
  </si>
  <si>
    <t>Ingresso (US$ Milhões)</t>
  </si>
  <si>
    <t>Retorno (US$ Milhões)</t>
  </si>
  <si>
    <t>Saldo (US$ Milhões)</t>
  </si>
  <si>
    <t>Valor da Carteira       US$ Bilhões</t>
  </si>
  <si>
    <t>Valor da Carteira US$ Bilhões</t>
  </si>
  <si>
    <t>Ptax Venda</t>
  </si>
  <si>
    <t>Fechamento</t>
  </si>
  <si>
    <t>Ações, certificados ou recibos de depósito de valores mobiliários e dividendos</t>
  </si>
  <si>
    <t>Ações Recebidas por Empréstimos</t>
  </si>
  <si>
    <t>Opções - Posições lançadas</t>
  </si>
  <si>
    <t>Ouro</t>
  </si>
  <si>
    <t>Outras Aplicações - Renda Variável</t>
  </si>
  <si>
    <t>Disponibilidades</t>
  </si>
  <si>
    <t>Valores a pagar</t>
  </si>
  <si>
    <t>Valores a receber</t>
  </si>
  <si>
    <t xml:space="preserve">Ações e outros TVM cedidos em empréstimo </t>
  </si>
  <si>
    <t>BDR´S</t>
  </si>
  <si>
    <t>Certificados de Depósito Interbancário</t>
  </si>
  <si>
    <t>Certificados e Recibos de Depósito Bancário</t>
  </si>
  <si>
    <t>Debêntures conversíveis</t>
  </si>
  <si>
    <t>Debêntures SIDERBRÁS</t>
  </si>
  <si>
    <t>Debêntures simples</t>
  </si>
  <si>
    <t>Títulos Públicos</t>
  </si>
  <si>
    <t>Mercado a termo</t>
  </si>
  <si>
    <t>Opções - Posições titulares</t>
  </si>
  <si>
    <t>Outras Aplicações - Derivativos</t>
  </si>
  <si>
    <t>Outras Operações/ Aplicações de Renda Fixa</t>
  </si>
  <si>
    <t>Fundos de renda fixa</t>
  </si>
  <si>
    <t>Fundos de renda variável</t>
  </si>
  <si>
    <t>Fundos de Investimento Imobiliário</t>
  </si>
  <si>
    <t>Fundos Mútuo de Investimento em Empresas Emergentes</t>
  </si>
  <si>
    <t>US$ bilhões</t>
  </si>
  <si>
    <t>Investidor estrangeiro - Carteira (Portfólio) - Posição</t>
  </si>
  <si>
    <t>Investidor estrangeiro - Carteira (Portfólio) - Valor dos investimentos</t>
  </si>
  <si>
    <t>VALOR - Contrato Futuro de Câmbio (COMPRADO) - valor nocional</t>
  </si>
  <si>
    <t>VALOR - Contrato Futuro de Câmbio (VENDIDO) - valor nocional</t>
  </si>
  <si>
    <t>VALOR - Contrato Futuro de Índice (COMPRADO) - valor nocional</t>
  </si>
  <si>
    <t>VALOR - Contrato Futuro de Índice (VENDIDO) - valor nocional</t>
  </si>
  <si>
    <t>VALOR - Contrato Futuro de Juros (COMPRADO) - valor nocional</t>
  </si>
  <si>
    <t>VALOR - Contrato Futuro de Juros (VENDIDO) - valor nocional</t>
  </si>
  <si>
    <t>Outros títulos e obrigações - Governo Federal/ Estadual/ Municipal</t>
  </si>
  <si>
    <t>Fundos Mútuos de Investimento em Empresas Emergentes</t>
  </si>
  <si>
    <t>Investidor estrangeiro -  Carteira (Portfólio) - Fluxo</t>
  </si>
  <si>
    <t>Investidor estrangeiro - Carteira (Portfólio) - Fluxo</t>
  </si>
  <si>
    <t>2016 (jan-jun)</t>
  </si>
  <si>
    <t>2016 (jun)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</si>
</sst>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m\-yy"/>
    <numFmt numFmtId="165" formatCode="&quot;R$&quot;#,##0.00"/>
    <numFmt numFmtId="166" formatCode="General_)"/>
    <numFmt numFmtId="167" formatCode="#\ ###\ ###\ ##0\ "/>
    <numFmt numFmtId="168" formatCode="#,##0.00[$€];[Red]\-#,##0.00[$€]"/>
    <numFmt numFmtId="169" formatCode="mm/yyyy"/>
    <numFmt numFmtId="170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8"/>
      <name val="SwitzerlandLight"/>
      <family val="0"/>
    </font>
    <font>
      <sz val="7"/>
      <name val="SwitzerlandLight"/>
      <family val="0"/>
    </font>
    <font>
      <sz val="10"/>
      <name val="MS Sans Serif"/>
      <family val="2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color indexed="57"/>
      <name val="Verdana"/>
      <family val="2"/>
    </font>
    <font>
      <b/>
      <sz val="11"/>
      <color indexed="8"/>
      <name val="Calibri"/>
      <family val="2"/>
    </font>
    <font>
      <b/>
      <sz val="10"/>
      <name val="Garamond"/>
      <family val="1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6" fontId="7" fillId="0" borderId="0">
      <alignment vertical="top"/>
      <protection/>
    </xf>
    <xf numFmtId="167" fontId="8" fillId="0" borderId="1">
      <alignment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0" fontId="35" fillId="22" borderId="3" applyNumberFormat="0" applyAlignment="0" applyProtection="0"/>
    <xf numFmtId="0" fontId="36" fillId="0" borderId="4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2" applyNumberFormat="0" applyAlignment="0" applyProtection="0"/>
    <xf numFmtId="168" fontId="9" fillId="0" borderId="0" applyFon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167" fontId="10" fillId="0" borderId="0">
      <alignment/>
      <protection/>
    </xf>
    <xf numFmtId="0" fontId="40" fillId="21" borderId="6" applyNumberFormat="0" applyAlignment="0" applyProtection="0"/>
    <xf numFmtId="38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1" fillId="0" borderId="7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0" xfId="55" applyFill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left"/>
    </xf>
    <xf numFmtId="9" fontId="0" fillId="0" borderId="0" xfId="55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/>
    </xf>
    <xf numFmtId="165" fontId="6" fillId="32" borderId="7" xfId="0" applyNumberFormat="1" applyFont="1" applyFill="1" applyBorder="1" applyAlignment="1">
      <alignment horizontal="left"/>
    </xf>
    <xf numFmtId="3" fontId="6" fillId="32" borderId="12" xfId="0" applyNumberFormat="1" applyFont="1" applyFill="1" applyBorder="1" applyAlignment="1">
      <alignment/>
    </xf>
    <xf numFmtId="3" fontId="6" fillId="32" borderId="13" xfId="0" applyNumberFormat="1" applyFont="1" applyFill="1" applyBorder="1" applyAlignment="1">
      <alignment/>
    </xf>
    <xf numFmtId="0" fontId="6" fillId="32" borderId="14" xfId="0" applyFont="1" applyFill="1" applyBorder="1" applyAlignment="1">
      <alignment/>
    </xf>
    <xf numFmtId="3" fontId="12" fillId="32" borderId="0" xfId="0" applyNumberFormat="1" applyFont="1" applyFill="1" applyBorder="1" applyAlignment="1">
      <alignment horizontal="left"/>
    </xf>
    <xf numFmtId="3" fontId="12" fillId="32" borderId="15" xfId="0" applyNumberFormat="1" applyFont="1" applyFill="1" applyBorder="1" applyAlignment="1">
      <alignment horizontal="left"/>
    </xf>
    <xf numFmtId="0" fontId="6" fillId="32" borderId="16" xfId="0" applyFont="1" applyFill="1" applyBorder="1" applyAlignment="1">
      <alignment/>
    </xf>
    <xf numFmtId="3" fontId="12" fillId="32" borderId="17" xfId="0" applyNumberFormat="1" applyFont="1" applyFill="1" applyBorder="1" applyAlignment="1">
      <alignment horizontal="left"/>
    </xf>
    <xf numFmtId="3" fontId="12" fillId="32" borderId="18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17" fontId="6" fillId="32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164" fontId="6" fillId="32" borderId="20" xfId="0" applyNumberFormat="1" applyFont="1" applyFill="1" applyBorder="1" applyAlignment="1">
      <alignment horizontal="center" vertical="center" wrapText="1"/>
    </xf>
    <xf numFmtId="2" fontId="6" fillId="32" borderId="20" xfId="0" applyNumberFormat="1" applyFont="1" applyFill="1" applyBorder="1" applyAlignment="1">
      <alignment horizontal="center" vertical="center" wrapText="1"/>
    </xf>
    <xf numFmtId="2" fontId="6" fillId="32" borderId="20" xfId="0" applyNumberFormat="1" applyFont="1" applyFill="1" applyBorder="1" applyAlignment="1">
      <alignment horizontal="center" vertical="distributed" wrapText="1"/>
    </xf>
    <xf numFmtId="10" fontId="6" fillId="0" borderId="19" xfId="55" applyNumberFormat="1" applyFont="1" applyFill="1" applyBorder="1" applyAlignment="1">
      <alignment horizontal="center"/>
    </xf>
    <xf numFmtId="9" fontId="6" fillId="32" borderId="20" xfId="55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/>
    </xf>
    <xf numFmtId="0" fontId="31" fillId="0" borderId="0" xfId="52">
      <alignment/>
      <protection/>
    </xf>
    <xf numFmtId="0" fontId="47" fillId="0" borderId="0" xfId="52" applyFont="1" applyAlignment="1">
      <alignment horizontal="center" vertical="center"/>
      <protection/>
    </xf>
    <xf numFmtId="169" fontId="14" fillId="0" borderId="0" xfId="53" applyNumberFormat="1" applyFont="1" applyAlignment="1">
      <alignment horizontal="left"/>
      <protection/>
    </xf>
    <xf numFmtId="170" fontId="6" fillId="0" borderId="0" xfId="55" applyNumberFormat="1" applyFont="1" applyAlignment="1">
      <alignment horizontal="center"/>
    </xf>
    <xf numFmtId="0" fontId="48" fillId="0" borderId="0" xfId="52" applyFont="1">
      <alignment/>
      <protection/>
    </xf>
    <xf numFmtId="0" fontId="31" fillId="0" borderId="0" xfId="52" applyAlignment="1">
      <alignment horizontal="center" vertical="center"/>
      <protection/>
    </xf>
    <xf numFmtId="0" fontId="31" fillId="0" borderId="0" xfId="52" applyFont="1" applyAlignment="1">
      <alignment horizontal="center" vertical="center"/>
      <protection/>
    </xf>
    <xf numFmtId="0" fontId="31" fillId="0" borderId="0" xfId="52" applyFont="1">
      <alignment/>
      <protection/>
    </xf>
    <xf numFmtId="4" fontId="6" fillId="0" borderId="19" xfId="5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0" fontId="6" fillId="0" borderId="21" xfId="55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9" fontId="4" fillId="0" borderId="23" xfId="55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9" fontId="4" fillId="0" borderId="0" xfId="55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-Data" xfId="33"/>
    <cellStyle name="bolet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uro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3" xfId="53"/>
    <cellStyle name="Nota" xfId="54"/>
    <cellStyle name="Percent" xfId="55"/>
    <cellStyle name="rodape" xfId="56"/>
    <cellStyle name="Saída" xfId="57"/>
    <cellStyle name="Sep. milhar [0]" xfId="58"/>
    <cellStyle name="Comma" xfId="59"/>
    <cellStyle name="Comma [0]" xfId="60"/>
    <cellStyle name="Texto de Aviso" xfId="61"/>
    <cellStyle name="Texto Explicativo" xfId="62"/>
    <cellStyle name="Titul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dxfs count="167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581025</xdr:colOff>
      <xdr:row>9</xdr:row>
      <xdr:rowOff>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0" y="238125"/>
          <a:ext cx="11172825" cy="1219200"/>
        </a:xfrm>
        <a:prstGeom prst="rect">
          <a:avLst/>
        </a:prstGeom>
        <a:solidFill>
          <a:srgbClr val="FFFFCC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CVM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 dados sujeitos a ajustes.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2: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obtidos a partir das informações prestadas pelos representantes legais de investidores não residentes na data da coleta; dessa forma, revisões realizadas por esses representantes após a data de coleta de cada mês podem não estar refletidas nos dados.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Periodicidade de atualização: mensal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de coleta das informações do último período: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 de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66675</xdr:colOff>
      <xdr:row>8</xdr:row>
      <xdr:rowOff>38100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180975"/>
          <a:ext cx="8667750" cy="1152525"/>
        </a:xfrm>
        <a:prstGeom prst="rect">
          <a:avLst/>
        </a:prstGeom>
        <a:solidFill>
          <a:srgbClr val="FFFFCC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CVM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 dados sujeitos a ajustes.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2: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obtidos a partir das informações prestadas pelos representantes legais de investidores não residentes na data da coleta; dessa forma, revisões realizadas por esses representantes após a data de coleta de cada mês podem não estar refletidas nos dados.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Periodicidade de atualização: mensal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de coleta das informações do último período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 de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1200150</xdr:colOff>
      <xdr:row>9</xdr:row>
      <xdr:rowOff>66675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161925"/>
          <a:ext cx="9429750" cy="1200150"/>
        </a:xfrm>
        <a:prstGeom prst="rect">
          <a:avLst/>
        </a:prstGeom>
        <a:solidFill>
          <a:srgbClr val="FFFFCC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CVM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 dados sujeitos a ajustes.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2: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obtidos a partir das informações prestadas pelos representantes legais de investidores não residentes na data da coleta; dessa forma, revisões realizadas por esses representantes após a data de coleta de cada mês podem não estar refletidas nos dados.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Periodicidade de atualização: mensal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de coleta das informações do último período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 de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6</xdr:col>
      <xdr:colOff>752475</xdr:colOff>
      <xdr:row>9</xdr:row>
      <xdr:rowOff>95250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161925"/>
          <a:ext cx="8667750" cy="1228725"/>
        </a:xfrm>
        <a:prstGeom prst="rect">
          <a:avLst/>
        </a:prstGeom>
        <a:solidFill>
          <a:srgbClr val="FFFFCC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CVM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 dados sujeitos a ajustes.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2: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obtidos a partir das informações prestadas pelos representantes legais de investidores não residentes na data da coleta; dessa forma, revisões realizadas por esses representantes após a data de coleta de cada mês podem não estar refletidas nos dados.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Periodicidade de atualização: mensal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de coleta das informações do último período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 de 2016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13</xdr:col>
      <xdr:colOff>381000</xdr:colOff>
      <xdr:row>10</xdr:row>
      <xdr:rowOff>114300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9050" y="238125"/>
          <a:ext cx="11115675" cy="1495425"/>
        </a:xfrm>
        <a:prstGeom prst="rect">
          <a:avLst/>
        </a:prstGeom>
        <a:solidFill>
          <a:srgbClr val="FFFFCC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CVM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 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valor de  investimentos é  o somatório dos valores constantes na planilha "posição da carteira", desconsiderando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contas  de empréstimos  de TVM (cedidos ou tomados), valores dos contratos futuros, opções - posições lançadas, disponibilidades e contas a receber/pagar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2:  dados sujeitos a ajustes.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3: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obtidos a partir das informações prestadas pelos representantes legais de investidores não residentes na data da coleta; dessa forma, revisões realizadas por esses representantes após a data de coleta de cada mês podem não estar refletidas nos dados.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Periodicidade de atualização: mensal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de coleta das informações do último período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 de 2016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142875</xdr:rowOff>
    </xdr:from>
    <xdr:to>
      <xdr:col>12</xdr:col>
      <xdr:colOff>19050</xdr:colOff>
      <xdr:row>10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525" y="304800"/>
          <a:ext cx="10972800" cy="1457325"/>
        </a:xfrm>
        <a:prstGeom prst="rect">
          <a:avLst/>
        </a:prstGeom>
        <a:solidFill>
          <a:srgbClr val="FFFFCC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CVM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 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valor de  investimentos é  o somatório dos valores constantes na planilha "posição da carteira", desconsiderando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contas  de empréstimos  de TVM (cedidos ou tomados), valores dos contratos futuros, opções - posições lançadas, disponibilidades e contas a receber/pagar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2: dados sujeitos a ajustes.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 3: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obtidos a partir das informações prestadas pelos representantes legais de investidores não residentes na data da coleta; dessa forma, revisões realizadas por esses representantes após a data de coleta de cada mês podem não estar refletidas nos dados.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Periodicidade de atualização: mensal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de coleta das informações do último período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 de 2016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5"/>
  <sheetViews>
    <sheetView zoomScale="115" zoomScaleNormal="115" zoomScalePageLayoutView="0" workbookViewId="0" topLeftCell="A1">
      <pane xSplit="1" ySplit="2" topLeftCell="B2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69" sqref="A269"/>
    </sheetView>
  </sheetViews>
  <sheetFormatPr defaultColWidth="9.140625" defaultRowHeight="12.75"/>
  <cols>
    <col min="1" max="1" width="10.7109375" style="37" bestFit="1" customWidth="1"/>
    <col min="2" max="2" width="11.00390625" style="42" bestFit="1" customWidth="1"/>
    <col min="3" max="16384" width="9.140625" style="37" customWidth="1"/>
  </cols>
  <sheetData>
    <row r="1" ht="15">
      <c r="B1" s="38" t="s">
        <v>13</v>
      </c>
    </row>
    <row r="2" ht="15">
      <c r="B2" s="38" t="s">
        <v>14</v>
      </c>
    </row>
    <row r="3" spans="1:3" ht="15">
      <c r="A3" s="39">
        <v>34544</v>
      </c>
      <c r="B3" s="40">
        <v>0.94</v>
      </c>
      <c r="C3" s="41"/>
    </row>
    <row r="4" spans="1:3" ht="15">
      <c r="A4" s="39">
        <v>34577</v>
      </c>
      <c r="B4" s="40">
        <v>0.889</v>
      </c>
      <c r="C4" s="41"/>
    </row>
    <row r="5" spans="1:3" ht="15">
      <c r="A5" s="39">
        <v>34607</v>
      </c>
      <c r="B5" s="40">
        <v>0.853</v>
      </c>
      <c r="C5" s="41"/>
    </row>
    <row r="6" spans="1:3" ht="15">
      <c r="A6" s="39">
        <v>34638</v>
      </c>
      <c r="B6" s="40">
        <v>0.846</v>
      </c>
      <c r="C6" s="41"/>
    </row>
    <row r="7" spans="1:3" ht="15">
      <c r="A7" s="39">
        <v>34668</v>
      </c>
      <c r="B7" s="40">
        <v>0.845</v>
      </c>
      <c r="C7" s="41"/>
    </row>
    <row r="8" spans="1:3" ht="15">
      <c r="A8" s="39">
        <v>34698</v>
      </c>
      <c r="B8" s="40">
        <v>0.846</v>
      </c>
      <c r="C8" s="41"/>
    </row>
    <row r="9" spans="1:3" ht="15">
      <c r="A9" s="39">
        <v>34730</v>
      </c>
      <c r="B9" s="40">
        <v>0.842</v>
      </c>
      <c r="C9" s="41"/>
    </row>
    <row r="10" spans="1:3" ht="15">
      <c r="A10" s="39">
        <v>34758</v>
      </c>
      <c r="B10" s="40">
        <v>0.8515</v>
      </c>
      <c r="C10" s="41"/>
    </row>
    <row r="11" spans="1:3" ht="15">
      <c r="A11" s="39">
        <v>34789</v>
      </c>
      <c r="B11" s="40">
        <v>0.896</v>
      </c>
      <c r="C11" s="41"/>
    </row>
    <row r="12" spans="1:3" ht="15">
      <c r="A12" s="39">
        <v>34817</v>
      </c>
      <c r="B12" s="40">
        <v>0.913</v>
      </c>
      <c r="C12" s="41"/>
    </row>
    <row r="13" spans="1:3" ht="15">
      <c r="A13" s="39">
        <v>34850</v>
      </c>
      <c r="B13" s="40">
        <v>0.906</v>
      </c>
      <c r="C13" s="41"/>
    </row>
    <row r="14" spans="1:3" ht="15">
      <c r="A14" s="39">
        <v>34880</v>
      </c>
      <c r="B14" s="40">
        <v>0.922</v>
      </c>
      <c r="C14" s="41"/>
    </row>
    <row r="15" spans="1:3" ht="15">
      <c r="A15" s="39">
        <v>34911</v>
      </c>
      <c r="B15" s="40">
        <v>0.936</v>
      </c>
      <c r="C15" s="41"/>
    </row>
    <row r="16" spans="1:3" ht="15">
      <c r="A16" s="39">
        <v>34942</v>
      </c>
      <c r="B16" s="40">
        <v>0.951</v>
      </c>
      <c r="C16" s="41"/>
    </row>
    <row r="17" spans="1:3" ht="15">
      <c r="A17" s="39">
        <v>34971</v>
      </c>
      <c r="B17" s="40">
        <v>0.954</v>
      </c>
      <c r="C17" s="41"/>
    </row>
    <row r="18" spans="1:3" ht="15">
      <c r="A18" s="39">
        <v>35003</v>
      </c>
      <c r="B18" s="40">
        <v>0.9619</v>
      </c>
      <c r="C18" s="41"/>
    </row>
    <row r="19" spans="1:3" ht="15">
      <c r="A19" s="39">
        <v>35033</v>
      </c>
      <c r="B19" s="40">
        <v>0.9666</v>
      </c>
      <c r="C19" s="41"/>
    </row>
    <row r="20" spans="1:3" ht="15">
      <c r="A20" s="39">
        <v>35062</v>
      </c>
      <c r="B20" s="40">
        <v>0.9725</v>
      </c>
      <c r="C20" s="41"/>
    </row>
    <row r="21" spans="1:3" ht="15">
      <c r="A21" s="39">
        <v>35095</v>
      </c>
      <c r="B21" s="40">
        <v>0.9786</v>
      </c>
      <c r="C21" s="41"/>
    </row>
    <row r="22" spans="1:3" ht="15">
      <c r="A22" s="39">
        <v>35124</v>
      </c>
      <c r="B22" s="40">
        <v>0.9842</v>
      </c>
      <c r="C22" s="41"/>
    </row>
    <row r="23" spans="1:3" ht="15">
      <c r="A23" s="39">
        <v>35153</v>
      </c>
      <c r="B23" s="40">
        <v>0.988</v>
      </c>
      <c r="C23" s="41"/>
    </row>
    <row r="24" spans="1:3" ht="15">
      <c r="A24" s="39">
        <v>35185</v>
      </c>
      <c r="B24" s="40">
        <v>0.9925</v>
      </c>
      <c r="C24" s="41"/>
    </row>
    <row r="25" spans="1:3" ht="15">
      <c r="A25" s="39">
        <v>35216</v>
      </c>
      <c r="B25" s="40">
        <v>0.9984</v>
      </c>
      <c r="C25" s="41"/>
    </row>
    <row r="26" spans="1:3" ht="15">
      <c r="A26" s="39">
        <v>35244</v>
      </c>
      <c r="B26" s="40">
        <v>1.0044</v>
      </c>
      <c r="C26" s="41"/>
    </row>
    <row r="27" spans="1:3" ht="15">
      <c r="A27" s="39">
        <v>35277</v>
      </c>
      <c r="B27" s="40">
        <v>1.0112</v>
      </c>
      <c r="C27" s="41"/>
    </row>
    <row r="28" spans="1:3" ht="15">
      <c r="A28" s="39">
        <v>35307</v>
      </c>
      <c r="B28" s="40">
        <v>1.0169</v>
      </c>
      <c r="C28" s="41"/>
    </row>
    <row r="29" spans="1:3" ht="15">
      <c r="A29" s="39">
        <v>35338</v>
      </c>
      <c r="B29" s="40">
        <v>1.0215</v>
      </c>
      <c r="C29" s="41"/>
    </row>
    <row r="30" spans="1:3" ht="15">
      <c r="A30" s="39">
        <v>35369</v>
      </c>
      <c r="B30" s="40">
        <v>1.0276</v>
      </c>
      <c r="C30" s="41"/>
    </row>
    <row r="31" spans="1:3" ht="15">
      <c r="A31" s="39">
        <v>35398</v>
      </c>
      <c r="B31" s="40">
        <v>1.0332</v>
      </c>
      <c r="C31" s="41"/>
    </row>
    <row r="32" spans="1:3" ht="15">
      <c r="A32" s="39">
        <v>35430</v>
      </c>
      <c r="B32" s="40">
        <v>1.0394</v>
      </c>
      <c r="C32" s="41"/>
    </row>
    <row r="33" spans="1:3" ht="15">
      <c r="A33" s="39">
        <v>35461</v>
      </c>
      <c r="B33" s="40">
        <v>1.0461</v>
      </c>
      <c r="C33" s="41"/>
    </row>
    <row r="34" spans="1:3" ht="15">
      <c r="A34" s="39">
        <v>35489</v>
      </c>
      <c r="B34" s="40">
        <v>1.0515</v>
      </c>
      <c r="C34" s="41"/>
    </row>
    <row r="35" spans="1:3" ht="15">
      <c r="A35" s="39">
        <v>35520</v>
      </c>
      <c r="B35" s="40">
        <v>1.0593</v>
      </c>
      <c r="C35" s="41"/>
    </row>
    <row r="36" spans="1:3" ht="15">
      <c r="A36" s="39">
        <v>35550</v>
      </c>
      <c r="B36" s="40">
        <v>1.0638</v>
      </c>
      <c r="C36" s="41"/>
    </row>
    <row r="37" spans="1:3" ht="15">
      <c r="A37" s="39">
        <v>35580</v>
      </c>
      <c r="B37" s="40">
        <v>1.0717</v>
      </c>
      <c r="C37" s="41"/>
    </row>
    <row r="38" spans="1:3" ht="15">
      <c r="A38" s="39">
        <v>35611</v>
      </c>
      <c r="B38" s="40">
        <v>1.0769</v>
      </c>
      <c r="C38" s="41"/>
    </row>
    <row r="39" spans="1:3" ht="15">
      <c r="A39" s="39">
        <v>35642</v>
      </c>
      <c r="B39" s="40">
        <v>1.0834</v>
      </c>
      <c r="C39" s="41"/>
    </row>
    <row r="40" spans="1:3" ht="15">
      <c r="A40" s="39">
        <v>35671</v>
      </c>
      <c r="B40" s="40">
        <v>1.0916</v>
      </c>
      <c r="C40" s="41"/>
    </row>
    <row r="41" spans="1:3" ht="15">
      <c r="A41" s="39">
        <v>35703</v>
      </c>
      <c r="B41" s="40">
        <v>1.0964</v>
      </c>
      <c r="C41" s="41"/>
    </row>
    <row r="42" spans="1:3" ht="15">
      <c r="A42" s="39">
        <v>35734</v>
      </c>
      <c r="B42" s="40">
        <v>1.1031</v>
      </c>
      <c r="C42" s="41"/>
    </row>
    <row r="43" spans="1:3" ht="15">
      <c r="A43" s="39">
        <v>35762</v>
      </c>
      <c r="B43" s="40">
        <v>1.1098</v>
      </c>
      <c r="C43" s="41"/>
    </row>
    <row r="44" spans="1:3" ht="15">
      <c r="A44" s="39">
        <v>35795</v>
      </c>
      <c r="B44" s="40">
        <v>1.1164</v>
      </c>
      <c r="C44" s="41"/>
    </row>
    <row r="45" spans="1:3" ht="15">
      <c r="A45" s="39">
        <v>35825</v>
      </c>
      <c r="B45" s="40">
        <v>1.1237</v>
      </c>
      <c r="C45" s="41"/>
    </row>
    <row r="46" spans="1:3" ht="15">
      <c r="A46" s="39">
        <v>35853</v>
      </c>
      <c r="B46" s="40">
        <v>1.1304</v>
      </c>
      <c r="C46" s="41"/>
    </row>
    <row r="47" spans="1:3" ht="15">
      <c r="A47" s="39">
        <v>35885</v>
      </c>
      <c r="B47" s="40">
        <v>1.1374</v>
      </c>
      <c r="C47" s="41"/>
    </row>
    <row r="48" spans="1:3" ht="15">
      <c r="A48" s="39">
        <v>35915</v>
      </c>
      <c r="B48" s="40">
        <v>1.1443</v>
      </c>
      <c r="C48" s="41"/>
    </row>
    <row r="49" spans="1:3" ht="15">
      <c r="A49" s="39">
        <v>35944</v>
      </c>
      <c r="B49" s="40">
        <v>1.1505</v>
      </c>
      <c r="C49" s="41"/>
    </row>
    <row r="50" spans="1:3" ht="15">
      <c r="A50" s="39">
        <v>35976</v>
      </c>
      <c r="B50" s="40">
        <v>1.1569</v>
      </c>
      <c r="C50" s="41"/>
    </row>
    <row r="51" spans="1:3" ht="15">
      <c r="A51" s="39">
        <v>36007</v>
      </c>
      <c r="B51" s="40">
        <v>1.1634</v>
      </c>
      <c r="C51" s="41"/>
    </row>
    <row r="52" spans="1:3" ht="15">
      <c r="A52" s="39">
        <v>36038</v>
      </c>
      <c r="B52" s="40">
        <v>1.1769</v>
      </c>
      <c r="C52" s="41"/>
    </row>
    <row r="53" spans="1:3" ht="15">
      <c r="A53" s="39">
        <v>36068</v>
      </c>
      <c r="B53" s="40">
        <v>1.1856</v>
      </c>
      <c r="C53" s="41"/>
    </row>
    <row r="54" spans="1:3" ht="15">
      <c r="A54" s="39">
        <v>36098</v>
      </c>
      <c r="B54" s="40">
        <v>1.1932</v>
      </c>
      <c r="C54" s="41"/>
    </row>
    <row r="55" spans="1:3" ht="15">
      <c r="A55" s="39">
        <v>36129</v>
      </c>
      <c r="B55" s="40">
        <v>1.2012</v>
      </c>
      <c r="C55" s="41"/>
    </row>
    <row r="56" spans="1:3" ht="15">
      <c r="A56" s="39">
        <v>36160</v>
      </c>
      <c r="B56" s="40">
        <v>1.2087</v>
      </c>
      <c r="C56" s="41"/>
    </row>
    <row r="57" spans="1:3" ht="15">
      <c r="A57" s="39">
        <v>36189</v>
      </c>
      <c r="B57" s="40">
        <v>1.9832</v>
      </c>
      <c r="C57" s="41"/>
    </row>
    <row r="58" spans="1:3" ht="15">
      <c r="A58" s="39">
        <v>36217</v>
      </c>
      <c r="B58" s="40">
        <v>2.0648</v>
      </c>
      <c r="C58" s="41"/>
    </row>
    <row r="59" spans="1:3" ht="15">
      <c r="A59" s="39">
        <v>36250</v>
      </c>
      <c r="B59" s="40">
        <v>1.722</v>
      </c>
      <c r="C59" s="41"/>
    </row>
    <row r="60" spans="1:3" ht="15">
      <c r="A60" s="39">
        <v>36280</v>
      </c>
      <c r="B60" s="40">
        <v>1.6607</v>
      </c>
      <c r="C60" s="41"/>
    </row>
    <row r="61" spans="1:3" ht="15">
      <c r="A61" s="39">
        <v>36311</v>
      </c>
      <c r="B61" s="40">
        <v>1.724</v>
      </c>
      <c r="C61" s="41"/>
    </row>
    <row r="62" spans="1:3" ht="15">
      <c r="A62" s="39">
        <v>36341</v>
      </c>
      <c r="B62" s="40">
        <v>1.7695</v>
      </c>
      <c r="C62" s="41"/>
    </row>
    <row r="63" spans="1:3" ht="15">
      <c r="A63" s="39">
        <v>36371</v>
      </c>
      <c r="B63" s="40">
        <v>1.7892</v>
      </c>
      <c r="C63" s="41"/>
    </row>
    <row r="64" spans="1:3" ht="15">
      <c r="A64" s="39">
        <v>36403</v>
      </c>
      <c r="B64" s="40">
        <v>1.9159</v>
      </c>
      <c r="C64" s="41"/>
    </row>
    <row r="65" spans="1:3" ht="15">
      <c r="A65" s="39">
        <v>36433</v>
      </c>
      <c r="B65" s="40">
        <v>1.9223</v>
      </c>
      <c r="C65" s="41"/>
    </row>
    <row r="66" spans="1:3" ht="15">
      <c r="A66" s="39">
        <v>36462</v>
      </c>
      <c r="B66" s="40">
        <v>1.953</v>
      </c>
      <c r="C66" s="41"/>
    </row>
    <row r="67" spans="1:3" ht="15">
      <c r="A67" s="39">
        <v>36494</v>
      </c>
      <c r="B67" s="40">
        <v>1.9227</v>
      </c>
      <c r="C67" s="41"/>
    </row>
    <row r="68" spans="1:3" ht="15">
      <c r="A68" s="39">
        <v>36525</v>
      </c>
      <c r="B68" s="40">
        <v>1.789</v>
      </c>
      <c r="C68" s="41"/>
    </row>
    <row r="69" spans="1:3" ht="15">
      <c r="A69" s="39">
        <v>36556</v>
      </c>
      <c r="B69" s="40">
        <v>1.8024</v>
      </c>
      <c r="C69" s="41"/>
    </row>
    <row r="70" spans="1:3" ht="15">
      <c r="A70" s="39">
        <v>36585</v>
      </c>
      <c r="B70" s="40">
        <v>1.7685</v>
      </c>
      <c r="C70" s="41"/>
    </row>
    <row r="71" spans="1:3" ht="15">
      <c r="A71" s="39">
        <v>36616</v>
      </c>
      <c r="B71" s="40">
        <v>1.7473</v>
      </c>
      <c r="C71" s="41"/>
    </row>
    <row r="72" spans="1:3" ht="15">
      <c r="A72" s="39">
        <v>36644</v>
      </c>
      <c r="B72" s="40">
        <v>1.8067</v>
      </c>
      <c r="C72" s="41"/>
    </row>
    <row r="73" spans="1:3" ht="15">
      <c r="A73" s="39">
        <v>36677</v>
      </c>
      <c r="B73" s="40">
        <v>1.8266</v>
      </c>
      <c r="C73" s="41"/>
    </row>
    <row r="74" spans="1:3" ht="15">
      <c r="A74" s="39">
        <v>36707</v>
      </c>
      <c r="B74" s="40">
        <v>1.8</v>
      </c>
      <c r="C74" s="41"/>
    </row>
    <row r="75" spans="1:3" ht="15">
      <c r="A75" s="39">
        <v>36738</v>
      </c>
      <c r="B75" s="40">
        <v>1.7748</v>
      </c>
      <c r="C75" s="41"/>
    </row>
    <row r="76" spans="1:3" ht="15">
      <c r="A76" s="39">
        <v>36769</v>
      </c>
      <c r="B76" s="40">
        <v>1.8234</v>
      </c>
      <c r="C76" s="41"/>
    </row>
    <row r="77" spans="1:3" ht="15">
      <c r="A77" s="39">
        <v>36798</v>
      </c>
      <c r="B77" s="40">
        <v>1.8437</v>
      </c>
      <c r="C77" s="41"/>
    </row>
    <row r="78" spans="1:3" ht="15">
      <c r="A78" s="39">
        <v>36830</v>
      </c>
      <c r="B78" s="40">
        <v>1.909</v>
      </c>
      <c r="C78" s="41"/>
    </row>
    <row r="79" spans="1:3" ht="15">
      <c r="A79" s="39">
        <v>36860</v>
      </c>
      <c r="B79" s="40">
        <v>1.9596</v>
      </c>
      <c r="C79" s="41"/>
    </row>
    <row r="80" spans="1:3" ht="15">
      <c r="A80" s="39">
        <v>36889</v>
      </c>
      <c r="B80" s="40">
        <v>1.9554</v>
      </c>
      <c r="C80" s="41"/>
    </row>
    <row r="81" spans="1:3" ht="15">
      <c r="A81" s="39">
        <v>36922</v>
      </c>
      <c r="B81" s="40">
        <v>1.9711</v>
      </c>
      <c r="C81" s="41"/>
    </row>
    <row r="82" spans="1:3" ht="15">
      <c r="A82" s="39">
        <v>36950</v>
      </c>
      <c r="B82" s="40">
        <v>2.0452</v>
      </c>
      <c r="C82" s="41"/>
    </row>
    <row r="83" spans="1:3" ht="15">
      <c r="A83" s="39">
        <v>36980</v>
      </c>
      <c r="B83" s="40">
        <v>2.1616</v>
      </c>
      <c r="C83" s="41"/>
    </row>
    <row r="84" spans="1:3" ht="15">
      <c r="A84" s="39">
        <v>37011</v>
      </c>
      <c r="B84" s="40">
        <v>2.1847</v>
      </c>
      <c r="C84" s="41"/>
    </row>
    <row r="85" spans="1:3" ht="15">
      <c r="A85" s="39">
        <v>37042</v>
      </c>
      <c r="B85" s="40">
        <v>2.36</v>
      </c>
      <c r="C85" s="41"/>
    </row>
    <row r="86" spans="1:3" ht="15">
      <c r="A86" s="39">
        <v>37071</v>
      </c>
      <c r="B86" s="40">
        <v>2.3049</v>
      </c>
      <c r="C86" s="41"/>
    </row>
    <row r="87" spans="1:3" ht="15">
      <c r="A87" s="39">
        <v>37103</v>
      </c>
      <c r="B87" s="40">
        <v>2.4313</v>
      </c>
      <c r="C87" s="41"/>
    </row>
    <row r="88" spans="1:3" ht="15">
      <c r="A88" s="39">
        <v>37134</v>
      </c>
      <c r="B88" s="40">
        <v>2.5517</v>
      </c>
      <c r="C88" s="41"/>
    </row>
    <row r="89" spans="1:3" ht="15">
      <c r="A89" s="39">
        <v>37162</v>
      </c>
      <c r="B89" s="40">
        <v>2.6713</v>
      </c>
      <c r="C89" s="41"/>
    </row>
    <row r="90" spans="1:3" ht="15">
      <c r="A90" s="39">
        <v>37195</v>
      </c>
      <c r="B90" s="40">
        <v>2.7071</v>
      </c>
      <c r="C90" s="41"/>
    </row>
    <row r="91" spans="1:3" ht="15">
      <c r="A91" s="39">
        <v>37225</v>
      </c>
      <c r="B91" s="40">
        <v>2.5287</v>
      </c>
      <c r="C91" s="41"/>
    </row>
    <row r="92" spans="1:3" ht="15">
      <c r="A92" s="39">
        <v>37256</v>
      </c>
      <c r="B92" s="40">
        <v>2.3204</v>
      </c>
      <c r="C92" s="41"/>
    </row>
    <row r="93" spans="1:3" ht="15">
      <c r="A93" s="39">
        <v>37287</v>
      </c>
      <c r="B93" s="40">
        <v>2.4183</v>
      </c>
      <c r="C93" s="41"/>
    </row>
    <row r="94" spans="1:3" ht="15">
      <c r="A94" s="39">
        <v>37315</v>
      </c>
      <c r="B94" s="40">
        <v>2.3482</v>
      </c>
      <c r="C94" s="41"/>
    </row>
    <row r="95" spans="1:3" ht="15">
      <c r="A95" s="39">
        <v>37344</v>
      </c>
      <c r="B95" s="40">
        <v>2.3236</v>
      </c>
      <c r="C95" s="41"/>
    </row>
    <row r="96" spans="1:3" ht="15">
      <c r="A96" s="39">
        <v>37376</v>
      </c>
      <c r="B96" s="40">
        <v>2.3625</v>
      </c>
      <c r="C96" s="41"/>
    </row>
    <row r="97" spans="1:3" ht="15">
      <c r="A97" s="39">
        <v>37407</v>
      </c>
      <c r="B97" s="40">
        <v>2.522</v>
      </c>
      <c r="C97" s="41"/>
    </row>
    <row r="98" spans="1:3" ht="15">
      <c r="A98" s="39">
        <v>37435</v>
      </c>
      <c r="B98" s="40">
        <v>2.8444</v>
      </c>
      <c r="C98" s="41"/>
    </row>
    <row r="99" spans="1:3" ht="15">
      <c r="A99" s="39">
        <v>37468</v>
      </c>
      <c r="B99" s="40">
        <v>3.4285</v>
      </c>
      <c r="C99" s="41"/>
    </row>
    <row r="100" spans="1:3" ht="15">
      <c r="A100" s="39">
        <v>37498</v>
      </c>
      <c r="B100" s="40">
        <v>3.0223</v>
      </c>
      <c r="C100" s="41"/>
    </row>
    <row r="101" spans="1:3" ht="15">
      <c r="A101" s="39">
        <v>37529</v>
      </c>
      <c r="B101" s="40">
        <v>3.8949</v>
      </c>
      <c r="C101" s="41"/>
    </row>
    <row r="102" spans="1:3" ht="15">
      <c r="A102" s="39">
        <v>37560</v>
      </c>
      <c r="B102" s="40">
        <v>3.645</v>
      </c>
      <c r="C102" s="41"/>
    </row>
    <row r="103" spans="1:3" ht="15">
      <c r="A103" s="39">
        <v>37589</v>
      </c>
      <c r="B103" s="40">
        <v>3.6365</v>
      </c>
      <c r="C103" s="41"/>
    </row>
    <row r="104" spans="1:3" ht="15">
      <c r="A104" s="39">
        <v>37621</v>
      </c>
      <c r="B104" s="40">
        <v>3.5333</v>
      </c>
      <c r="C104" s="41"/>
    </row>
    <row r="105" spans="1:3" ht="15">
      <c r="A105" s="39">
        <v>37652</v>
      </c>
      <c r="B105" s="40">
        <v>3.5258</v>
      </c>
      <c r="C105" s="41"/>
    </row>
    <row r="106" spans="1:3" ht="15">
      <c r="A106" s="39">
        <v>37680</v>
      </c>
      <c r="B106" s="40">
        <v>3.5632</v>
      </c>
      <c r="C106" s="41"/>
    </row>
    <row r="107" spans="1:3" ht="15">
      <c r="A107" s="39">
        <v>37711</v>
      </c>
      <c r="B107" s="40">
        <v>3.3531</v>
      </c>
      <c r="C107" s="41"/>
    </row>
    <row r="108" spans="1:3" ht="15">
      <c r="A108" s="39">
        <v>37741</v>
      </c>
      <c r="B108" s="40">
        <v>2.8898</v>
      </c>
      <c r="C108" s="41"/>
    </row>
    <row r="109" spans="1:3" ht="15">
      <c r="A109" s="39">
        <v>37771</v>
      </c>
      <c r="B109" s="40">
        <v>2.9656</v>
      </c>
      <c r="C109" s="41"/>
    </row>
    <row r="110" spans="1:3" ht="15">
      <c r="A110" s="39">
        <v>37802</v>
      </c>
      <c r="B110" s="40">
        <v>2.872</v>
      </c>
      <c r="C110" s="41"/>
    </row>
    <row r="111" spans="1:3" ht="15">
      <c r="A111" s="39">
        <v>37833</v>
      </c>
      <c r="B111" s="40">
        <v>2.9655</v>
      </c>
      <c r="C111" s="41"/>
    </row>
    <row r="112" spans="1:3" ht="15">
      <c r="A112" s="39">
        <v>37862</v>
      </c>
      <c r="B112" s="40">
        <v>2.9665</v>
      </c>
      <c r="C112" s="41"/>
    </row>
    <row r="113" spans="1:3" ht="15">
      <c r="A113" s="39">
        <v>37894</v>
      </c>
      <c r="B113" s="40">
        <v>2.9234</v>
      </c>
      <c r="C113" s="41"/>
    </row>
    <row r="114" spans="1:3" ht="15">
      <c r="A114" s="39">
        <v>37925</v>
      </c>
      <c r="B114" s="40">
        <v>2.8562</v>
      </c>
      <c r="C114" s="41"/>
    </row>
    <row r="115" spans="1:3" ht="15">
      <c r="A115" s="39">
        <v>37953</v>
      </c>
      <c r="B115" s="40">
        <v>2.9494</v>
      </c>
      <c r="C115" s="41"/>
    </row>
    <row r="116" spans="1:3" ht="15">
      <c r="A116" s="39">
        <v>37986</v>
      </c>
      <c r="B116" s="40">
        <v>2.8892</v>
      </c>
      <c r="C116" s="41"/>
    </row>
    <row r="117" spans="1:3" ht="15">
      <c r="A117" s="39">
        <v>38016</v>
      </c>
      <c r="B117" s="40">
        <v>2.9409</v>
      </c>
      <c r="C117" s="41"/>
    </row>
    <row r="118" spans="1:3" ht="15">
      <c r="A118" s="39">
        <v>38044</v>
      </c>
      <c r="B118" s="40">
        <v>2.9138</v>
      </c>
      <c r="C118" s="41"/>
    </row>
    <row r="119" spans="1:3" ht="15">
      <c r="A119" s="39">
        <v>38077</v>
      </c>
      <c r="B119" s="40">
        <v>2.9086</v>
      </c>
      <c r="C119" s="41"/>
    </row>
    <row r="120" spans="1:3" ht="15">
      <c r="A120" s="39">
        <v>38107</v>
      </c>
      <c r="B120" s="40">
        <v>2.9447</v>
      </c>
      <c r="C120" s="41"/>
    </row>
    <row r="121" spans="1:3" ht="15">
      <c r="A121" s="39">
        <v>38138</v>
      </c>
      <c r="B121" s="40">
        <v>3.1291</v>
      </c>
      <c r="C121" s="41"/>
    </row>
    <row r="122" spans="1:3" ht="15">
      <c r="A122" s="39">
        <v>38168</v>
      </c>
      <c r="B122" s="40">
        <v>3.1075</v>
      </c>
      <c r="C122" s="41"/>
    </row>
    <row r="123" spans="1:3" ht="15">
      <c r="A123" s="39">
        <v>38198</v>
      </c>
      <c r="B123" s="40">
        <v>3.0268</v>
      </c>
      <c r="C123" s="41"/>
    </row>
    <row r="124" spans="1:3" ht="15">
      <c r="A124" s="39">
        <v>38230</v>
      </c>
      <c r="B124" s="40">
        <v>2.9338</v>
      </c>
      <c r="C124" s="41"/>
    </row>
    <row r="125" spans="1:3" ht="15">
      <c r="A125" s="39">
        <v>38260</v>
      </c>
      <c r="B125" s="40">
        <v>2.8586</v>
      </c>
      <c r="C125" s="41"/>
    </row>
    <row r="126" spans="1:3" ht="15">
      <c r="A126" s="39">
        <v>38289</v>
      </c>
      <c r="B126" s="40">
        <v>2.8565</v>
      </c>
      <c r="C126" s="41"/>
    </row>
    <row r="127" spans="1:3" ht="15">
      <c r="A127" s="39">
        <v>38321</v>
      </c>
      <c r="B127" s="40">
        <v>2.7307</v>
      </c>
      <c r="C127" s="41"/>
    </row>
    <row r="128" spans="1:3" ht="15">
      <c r="A128" s="39">
        <v>38352</v>
      </c>
      <c r="B128" s="40">
        <v>2.6544</v>
      </c>
      <c r="C128" s="41"/>
    </row>
    <row r="129" spans="1:3" ht="15">
      <c r="A129" s="39">
        <v>38383</v>
      </c>
      <c r="B129" s="40">
        <v>2.6248</v>
      </c>
      <c r="C129" s="41"/>
    </row>
    <row r="130" spans="1:3" ht="15">
      <c r="A130" s="39">
        <v>38411</v>
      </c>
      <c r="B130" s="40">
        <v>2.595</v>
      </c>
      <c r="C130" s="41"/>
    </row>
    <row r="131" spans="1:3" ht="15">
      <c r="A131" s="39">
        <v>38442</v>
      </c>
      <c r="B131" s="40">
        <v>2.6662</v>
      </c>
      <c r="C131" s="41"/>
    </row>
    <row r="132" spans="1:3" ht="15">
      <c r="A132" s="39">
        <v>38472</v>
      </c>
      <c r="B132" s="40">
        <v>2.5313</v>
      </c>
      <c r="C132" s="41"/>
    </row>
    <row r="133" spans="1:3" ht="15">
      <c r="A133" s="39">
        <v>38503</v>
      </c>
      <c r="B133" s="40">
        <v>2.4038</v>
      </c>
      <c r="C133" s="41"/>
    </row>
    <row r="134" spans="1:3" ht="15">
      <c r="A134" s="39">
        <v>38533</v>
      </c>
      <c r="B134" s="40">
        <v>2.3504</v>
      </c>
      <c r="C134" s="41"/>
    </row>
    <row r="135" spans="1:3" ht="15">
      <c r="A135" s="39">
        <v>38564</v>
      </c>
      <c r="B135" s="40">
        <v>2.3905</v>
      </c>
      <c r="C135" s="41"/>
    </row>
    <row r="136" spans="1:3" ht="15">
      <c r="A136" s="39">
        <v>38595</v>
      </c>
      <c r="B136" s="40">
        <v>2.3637</v>
      </c>
      <c r="C136" s="41"/>
    </row>
    <row r="137" spans="1:3" ht="15">
      <c r="A137" s="39">
        <v>38625</v>
      </c>
      <c r="B137" s="40">
        <v>2.2222</v>
      </c>
      <c r="C137" s="41"/>
    </row>
    <row r="138" spans="1:3" ht="15">
      <c r="A138" s="39">
        <v>38656</v>
      </c>
      <c r="B138" s="40">
        <v>2.2543</v>
      </c>
      <c r="C138" s="41"/>
    </row>
    <row r="139" spans="1:3" ht="15">
      <c r="A139" s="39">
        <v>38686</v>
      </c>
      <c r="B139" s="40">
        <v>2.207</v>
      </c>
      <c r="C139" s="41"/>
    </row>
    <row r="140" spans="1:3" ht="15">
      <c r="A140" s="39">
        <v>38717</v>
      </c>
      <c r="B140" s="40">
        <v>2.3407</v>
      </c>
      <c r="C140" s="41"/>
    </row>
    <row r="141" spans="1:3" ht="15">
      <c r="A141" s="39">
        <v>38748</v>
      </c>
      <c r="B141" s="40">
        <v>2.216</v>
      </c>
      <c r="C141" s="41"/>
    </row>
    <row r="142" spans="1:3" ht="15">
      <c r="A142" s="39">
        <v>38776</v>
      </c>
      <c r="B142" s="40">
        <v>2.1355</v>
      </c>
      <c r="C142" s="41"/>
    </row>
    <row r="143" spans="1:3" ht="15">
      <c r="A143" s="39">
        <v>38807</v>
      </c>
      <c r="B143" s="40">
        <v>2.1724</v>
      </c>
      <c r="C143" s="41"/>
    </row>
    <row r="144" spans="1:3" ht="15">
      <c r="A144" s="39">
        <v>38837</v>
      </c>
      <c r="B144" s="40">
        <v>2.0892</v>
      </c>
      <c r="C144" s="41"/>
    </row>
    <row r="145" spans="1:3" ht="15">
      <c r="A145" s="39">
        <v>38868</v>
      </c>
      <c r="B145" s="40">
        <v>2.3005</v>
      </c>
      <c r="C145" s="41"/>
    </row>
    <row r="146" spans="1:3" ht="15">
      <c r="A146" s="39">
        <v>38869</v>
      </c>
      <c r="B146" s="40">
        <v>2.1643</v>
      </c>
      <c r="C146" s="41"/>
    </row>
    <row r="147" spans="1:3" ht="15">
      <c r="A147" s="39">
        <v>38899</v>
      </c>
      <c r="B147" s="40">
        <v>2.1762</v>
      </c>
      <c r="C147" s="41"/>
    </row>
    <row r="148" spans="1:3" ht="15">
      <c r="A148" s="39">
        <v>38930</v>
      </c>
      <c r="B148" s="40">
        <v>2.1388</v>
      </c>
      <c r="C148" s="41"/>
    </row>
    <row r="149" spans="1:3" ht="15">
      <c r="A149" s="39">
        <v>38961</v>
      </c>
      <c r="B149" s="40">
        <v>2.1742</v>
      </c>
      <c r="C149" s="41"/>
    </row>
    <row r="150" spans="1:3" ht="15">
      <c r="A150" s="39">
        <v>38991</v>
      </c>
      <c r="B150" s="40">
        <v>2.143</v>
      </c>
      <c r="C150" s="41"/>
    </row>
    <row r="151" spans="1:3" ht="15">
      <c r="A151" s="39">
        <v>39022</v>
      </c>
      <c r="B151" s="40">
        <v>2.1668</v>
      </c>
      <c r="C151" s="41"/>
    </row>
    <row r="152" spans="1:3" ht="15">
      <c r="A152" s="39">
        <v>39052</v>
      </c>
      <c r="B152" s="40">
        <v>2.138</v>
      </c>
      <c r="C152" s="41"/>
    </row>
    <row r="153" spans="1:3" ht="15">
      <c r="A153" s="39">
        <v>39083</v>
      </c>
      <c r="B153" s="40">
        <v>2.1247</v>
      </c>
      <c r="C153" s="41"/>
    </row>
    <row r="154" spans="1:3" ht="15">
      <c r="A154" s="39">
        <v>39114</v>
      </c>
      <c r="B154" s="40">
        <v>2.1182</v>
      </c>
      <c r="C154" s="41"/>
    </row>
    <row r="155" spans="1:3" ht="15">
      <c r="A155" s="39">
        <v>39142</v>
      </c>
      <c r="B155" s="40">
        <v>2.0504</v>
      </c>
      <c r="C155" s="41"/>
    </row>
    <row r="156" spans="1:3" ht="15">
      <c r="A156" s="39">
        <v>39173</v>
      </c>
      <c r="B156" s="40">
        <v>2.0339</v>
      </c>
      <c r="C156" s="41"/>
    </row>
    <row r="157" spans="1:3" ht="15">
      <c r="A157" s="39">
        <v>39203</v>
      </c>
      <c r="B157" s="40">
        <v>1.9289</v>
      </c>
      <c r="C157" s="41"/>
    </row>
    <row r="158" spans="1:3" ht="15">
      <c r="A158" s="39">
        <v>39234</v>
      </c>
      <c r="B158" s="40">
        <v>1.9262</v>
      </c>
      <c r="C158" s="41"/>
    </row>
    <row r="159" spans="1:3" ht="15">
      <c r="A159" s="39">
        <v>39264</v>
      </c>
      <c r="B159" s="40">
        <v>1.8776</v>
      </c>
      <c r="C159" s="41"/>
    </row>
    <row r="160" spans="1:3" ht="15">
      <c r="A160" s="39">
        <v>39295</v>
      </c>
      <c r="B160" s="40">
        <v>1.962</v>
      </c>
      <c r="C160" s="41"/>
    </row>
    <row r="161" spans="1:3" ht="15">
      <c r="A161" s="39">
        <v>39326</v>
      </c>
      <c r="B161" s="40">
        <v>1.8389</v>
      </c>
      <c r="C161" s="41"/>
    </row>
    <row r="162" spans="1:3" ht="15">
      <c r="A162" s="39">
        <v>39356</v>
      </c>
      <c r="B162" s="40">
        <v>1.744</v>
      </c>
      <c r="C162" s="41"/>
    </row>
    <row r="163" spans="1:3" ht="15">
      <c r="A163" s="39">
        <v>39387</v>
      </c>
      <c r="B163" s="40">
        <v>1.7837</v>
      </c>
      <c r="C163" s="41"/>
    </row>
    <row r="164" spans="1:3" ht="15">
      <c r="A164" s="39">
        <v>39417</v>
      </c>
      <c r="B164" s="40">
        <v>1.7713</v>
      </c>
      <c r="C164" s="41"/>
    </row>
    <row r="165" spans="1:3" ht="15">
      <c r="A165" s="39">
        <v>39449</v>
      </c>
      <c r="B165" s="40">
        <v>1.7603</v>
      </c>
      <c r="C165" s="41"/>
    </row>
    <row r="166" spans="1:3" ht="15">
      <c r="A166" s="39">
        <v>39481</v>
      </c>
      <c r="B166" s="40">
        <v>1.6833</v>
      </c>
      <c r="C166" s="41"/>
    </row>
    <row r="167" spans="1:3" ht="15">
      <c r="A167" s="39">
        <v>39513</v>
      </c>
      <c r="B167" s="40">
        <v>1.7491</v>
      </c>
      <c r="C167" s="41"/>
    </row>
    <row r="168" spans="1:3" ht="15">
      <c r="A168" s="39">
        <v>39545</v>
      </c>
      <c r="B168" s="40">
        <v>1.6872</v>
      </c>
      <c r="C168" s="41"/>
    </row>
    <row r="169" spans="1:3" ht="15">
      <c r="A169" s="39">
        <v>39577</v>
      </c>
      <c r="B169" s="40">
        <v>1.6294</v>
      </c>
      <c r="C169" s="41"/>
    </row>
    <row r="170" spans="1:3" ht="15">
      <c r="A170" s="39">
        <v>39609</v>
      </c>
      <c r="B170" s="40">
        <v>1.5919</v>
      </c>
      <c r="C170" s="41"/>
    </row>
    <row r="171" spans="1:3" ht="15">
      <c r="A171" s="39">
        <v>39641</v>
      </c>
      <c r="B171" s="40">
        <v>1.5666</v>
      </c>
      <c r="C171" s="41"/>
    </row>
    <row r="172" spans="1:3" ht="15">
      <c r="A172" s="39">
        <v>39673</v>
      </c>
      <c r="B172" s="40">
        <v>1.6344</v>
      </c>
      <c r="C172" s="41"/>
    </row>
    <row r="173" spans="1:3" ht="15">
      <c r="A173" s="39">
        <v>39705</v>
      </c>
      <c r="B173" s="40">
        <v>1.9143</v>
      </c>
      <c r="C173" s="41"/>
    </row>
    <row r="174" spans="1:3" ht="15">
      <c r="A174" s="39">
        <v>39737</v>
      </c>
      <c r="B174" s="40">
        <v>2.1153</v>
      </c>
      <c r="C174" s="41"/>
    </row>
    <row r="175" spans="1:3" ht="15">
      <c r="A175" s="39">
        <v>39769</v>
      </c>
      <c r="B175" s="40">
        <v>2.3331</v>
      </c>
      <c r="C175" s="41"/>
    </row>
    <row r="176" spans="1:3" ht="15">
      <c r="A176" s="39">
        <v>39801</v>
      </c>
      <c r="B176" s="40">
        <v>2.337</v>
      </c>
      <c r="C176" s="41"/>
    </row>
    <row r="177" spans="1:3" ht="15">
      <c r="A177" s="39">
        <v>39833</v>
      </c>
      <c r="B177" s="40">
        <v>2.3162</v>
      </c>
      <c r="C177" s="41"/>
    </row>
    <row r="178" spans="1:3" ht="15">
      <c r="A178" s="39">
        <v>39865</v>
      </c>
      <c r="B178" s="40">
        <v>2.3784</v>
      </c>
      <c r="C178" s="41"/>
    </row>
    <row r="179" spans="1:3" ht="15">
      <c r="A179" s="39">
        <v>39897</v>
      </c>
      <c r="B179" s="40">
        <v>2.3152</v>
      </c>
      <c r="C179" s="41"/>
    </row>
    <row r="180" spans="1:3" ht="15">
      <c r="A180" s="39">
        <v>39929</v>
      </c>
      <c r="B180" s="40">
        <v>2.1783</v>
      </c>
      <c r="C180" s="41"/>
    </row>
    <row r="181" spans="1:3" ht="15">
      <c r="A181" s="39">
        <v>39961</v>
      </c>
      <c r="B181" s="40">
        <v>1.973</v>
      </c>
      <c r="C181" s="41"/>
    </row>
    <row r="182" spans="1:3" ht="15">
      <c r="A182" s="39">
        <v>39993</v>
      </c>
      <c r="B182" s="40">
        <v>1.9516</v>
      </c>
      <c r="C182" s="41"/>
    </row>
    <row r="183" spans="1:3" ht="15">
      <c r="A183" s="39">
        <v>40025</v>
      </c>
      <c r="B183" s="40">
        <v>1.8726</v>
      </c>
      <c r="C183" s="41"/>
    </row>
    <row r="184" spans="1:3" ht="15">
      <c r="A184" s="39">
        <v>40026</v>
      </c>
      <c r="B184" s="40">
        <v>1.8864</v>
      </c>
      <c r="C184" s="41"/>
    </row>
    <row r="185" spans="1:3" ht="15">
      <c r="A185" s="39">
        <v>40058</v>
      </c>
      <c r="B185" s="40">
        <v>1.7781</v>
      </c>
      <c r="C185" s="41"/>
    </row>
    <row r="186" spans="1:3" ht="15">
      <c r="A186" s="39">
        <v>40089</v>
      </c>
      <c r="B186" s="40">
        <v>1.744</v>
      </c>
      <c r="C186" s="41"/>
    </row>
    <row r="187" spans="1:2" ht="15">
      <c r="A187" s="39">
        <v>40121</v>
      </c>
      <c r="B187" s="42">
        <v>1.7505</v>
      </c>
    </row>
    <row r="188" spans="1:2" ht="15">
      <c r="A188" s="39">
        <v>40152</v>
      </c>
      <c r="B188" s="42">
        <v>1.7412</v>
      </c>
    </row>
    <row r="189" spans="1:2" ht="15">
      <c r="A189" s="39">
        <v>40184</v>
      </c>
      <c r="B189" s="42">
        <v>1.8748</v>
      </c>
    </row>
    <row r="190" spans="1:2" ht="15">
      <c r="A190" s="39">
        <v>40216</v>
      </c>
      <c r="B190" s="42">
        <v>1.811</v>
      </c>
    </row>
    <row r="191" spans="1:2" ht="15">
      <c r="A191" s="39">
        <v>40245</v>
      </c>
      <c r="B191" s="42">
        <v>1.781</v>
      </c>
    </row>
    <row r="192" spans="1:2" ht="15">
      <c r="A192" s="39">
        <v>40277</v>
      </c>
      <c r="B192" s="42">
        <v>1.7306</v>
      </c>
    </row>
    <row r="193" spans="1:2" ht="15">
      <c r="A193" s="39">
        <v>40308</v>
      </c>
      <c r="B193" s="42">
        <v>1.8167</v>
      </c>
    </row>
    <row r="194" spans="1:2" ht="15">
      <c r="A194" s="39">
        <v>40340</v>
      </c>
      <c r="B194" s="42">
        <v>1.8015</v>
      </c>
    </row>
    <row r="195" spans="1:3" ht="15">
      <c r="A195" s="39">
        <v>40360</v>
      </c>
      <c r="B195" s="43">
        <v>1.7572</v>
      </c>
      <c r="C195" s="44"/>
    </row>
    <row r="196" spans="1:3" ht="15">
      <c r="A196" s="39">
        <v>40392</v>
      </c>
      <c r="B196" s="43">
        <v>1.756</v>
      </c>
      <c r="C196" s="44"/>
    </row>
    <row r="197" spans="1:3" ht="15">
      <c r="A197" s="39">
        <v>40427</v>
      </c>
      <c r="B197" s="43">
        <v>1.6942</v>
      </c>
      <c r="C197" s="44"/>
    </row>
    <row r="198" spans="1:3" ht="15">
      <c r="A198" s="39">
        <v>40458</v>
      </c>
      <c r="B198" s="43">
        <v>1.7014</v>
      </c>
      <c r="C198" s="44"/>
    </row>
    <row r="199" spans="1:3" ht="15">
      <c r="A199" s="39">
        <v>40490</v>
      </c>
      <c r="B199" s="43">
        <v>1.7161</v>
      </c>
      <c r="C199" s="44"/>
    </row>
    <row r="200" spans="1:3" ht="15">
      <c r="A200" s="39">
        <v>40513</v>
      </c>
      <c r="B200" s="43">
        <v>1.6662</v>
      </c>
      <c r="C200" s="44"/>
    </row>
    <row r="201" spans="1:3" ht="15">
      <c r="A201" s="39">
        <v>40544</v>
      </c>
      <c r="B201" s="43">
        <v>1.6734</v>
      </c>
      <c r="C201" s="44"/>
    </row>
    <row r="202" spans="1:3" ht="15">
      <c r="A202" s="39">
        <v>40576</v>
      </c>
      <c r="B202" s="43">
        <v>1.6612</v>
      </c>
      <c r="C202" s="44"/>
    </row>
    <row r="203" spans="1:3" ht="15">
      <c r="A203" s="39">
        <v>40608</v>
      </c>
      <c r="B203" s="43">
        <v>1.6287</v>
      </c>
      <c r="C203" s="44"/>
    </row>
    <row r="204" spans="1:3" ht="15">
      <c r="A204" s="39">
        <v>40640</v>
      </c>
      <c r="B204" s="43">
        <v>1.5733</v>
      </c>
      <c r="C204" s="44"/>
    </row>
    <row r="205" spans="1:3" ht="15">
      <c r="A205" s="39">
        <v>40671</v>
      </c>
      <c r="B205" s="43">
        <v>1.5799</v>
      </c>
      <c r="C205" s="44"/>
    </row>
    <row r="206" spans="1:3" ht="15">
      <c r="A206" s="39">
        <v>40703</v>
      </c>
      <c r="B206" s="43">
        <v>1.5611</v>
      </c>
      <c r="C206" s="44"/>
    </row>
    <row r="207" spans="1:2" ht="15">
      <c r="A207" s="39">
        <v>40734</v>
      </c>
      <c r="B207" s="42">
        <v>1.5563</v>
      </c>
    </row>
    <row r="208" spans="1:2" ht="15">
      <c r="A208" s="39">
        <v>40766</v>
      </c>
      <c r="B208" s="42">
        <v>1.5872</v>
      </c>
    </row>
    <row r="209" spans="1:2" ht="15">
      <c r="A209" s="39">
        <v>40787</v>
      </c>
      <c r="B209" s="42">
        <v>1.8544</v>
      </c>
    </row>
    <row r="210" spans="1:2" ht="15">
      <c r="A210" s="39">
        <v>40817</v>
      </c>
      <c r="B210" s="42">
        <v>1.6885</v>
      </c>
    </row>
    <row r="211" spans="1:2" ht="15">
      <c r="A211" s="39">
        <v>40848</v>
      </c>
      <c r="B211" s="42">
        <v>1.8109</v>
      </c>
    </row>
    <row r="212" spans="1:2" ht="15">
      <c r="A212" s="39">
        <v>40878</v>
      </c>
      <c r="B212" s="42">
        <v>1.8758</v>
      </c>
    </row>
    <row r="213" spans="1:2" ht="15">
      <c r="A213" s="39">
        <v>40909</v>
      </c>
      <c r="B213" s="42">
        <v>1.7391</v>
      </c>
    </row>
    <row r="214" spans="1:2" ht="15">
      <c r="A214" s="39">
        <v>40940</v>
      </c>
      <c r="B214" s="42">
        <v>1.7092</v>
      </c>
    </row>
    <row r="215" spans="1:2" ht="15">
      <c r="A215" s="39">
        <v>40969</v>
      </c>
      <c r="B215" s="42">
        <v>1.8221</v>
      </c>
    </row>
    <row r="216" spans="1:2" ht="15">
      <c r="A216" s="39">
        <v>41000</v>
      </c>
      <c r="B216" s="42">
        <v>1.8918</v>
      </c>
    </row>
    <row r="217" spans="1:2" ht="15">
      <c r="A217" s="39">
        <v>41030</v>
      </c>
      <c r="B217" s="42">
        <v>2.0223</v>
      </c>
    </row>
    <row r="218" spans="1:2" ht="15">
      <c r="A218" s="39">
        <v>41061</v>
      </c>
      <c r="B218" s="42">
        <v>2.0213</v>
      </c>
    </row>
    <row r="219" spans="1:2" ht="15">
      <c r="A219" s="39">
        <v>41091</v>
      </c>
      <c r="B219" s="42">
        <v>2.0499</v>
      </c>
    </row>
    <row r="220" spans="1:2" ht="15">
      <c r="A220" s="39">
        <v>41122</v>
      </c>
      <c r="B220" s="42">
        <v>2.0372</v>
      </c>
    </row>
    <row r="221" spans="1:2" ht="15">
      <c r="A221" s="39">
        <v>41153</v>
      </c>
      <c r="B221" s="42">
        <v>2.0306</v>
      </c>
    </row>
    <row r="222" spans="1:2" ht="15">
      <c r="A222" s="39">
        <v>41183</v>
      </c>
      <c r="B222" s="42">
        <v>2.0313</v>
      </c>
    </row>
    <row r="223" spans="1:2" ht="15">
      <c r="A223" s="39">
        <v>41214</v>
      </c>
      <c r="B223" s="42">
        <v>2.1074</v>
      </c>
    </row>
    <row r="224" spans="1:2" ht="15">
      <c r="A224" s="39">
        <v>41244</v>
      </c>
      <c r="B224" s="42">
        <v>2.0435</v>
      </c>
    </row>
    <row r="225" spans="1:2" ht="15">
      <c r="A225" s="39">
        <v>41275</v>
      </c>
      <c r="B225" s="42">
        <v>1.9883</v>
      </c>
    </row>
    <row r="226" spans="1:2" ht="15">
      <c r="A226" s="39">
        <v>41306</v>
      </c>
      <c r="B226" s="42">
        <v>1.9754</v>
      </c>
    </row>
    <row r="227" spans="1:2" ht="15">
      <c r="A227" s="39">
        <v>41334</v>
      </c>
      <c r="B227" s="42">
        <v>2.0138</v>
      </c>
    </row>
    <row r="228" spans="1:2" ht="15">
      <c r="A228" s="39">
        <v>41365</v>
      </c>
      <c r="B228" s="42">
        <v>2.0017</v>
      </c>
    </row>
    <row r="229" spans="1:2" ht="15">
      <c r="A229" s="39">
        <v>41395</v>
      </c>
      <c r="B229" s="42">
        <v>2.1319</v>
      </c>
    </row>
    <row r="230" spans="1:2" ht="15">
      <c r="A230" s="39">
        <v>41426</v>
      </c>
      <c r="B230" s="42">
        <v>2.2156</v>
      </c>
    </row>
    <row r="231" spans="1:2" ht="15">
      <c r="A231" s="39">
        <v>41456</v>
      </c>
      <c r="B231" s="42">
        <v>2.2903</v>
      </c>
    </row>
    <row r="232" spans="1:2" ht="15">
      <c r="A232" s="39">
        <v>41487</v>
      </c>
      <c r="B232" s="42">
        <v>2.3725</v>
      </c>
    </row>
    <row r="233" spans="1:2" ht="15">
      <c r="A233" s="39">
        <v>41518</v>
      </c>
      <c r="B233" s="42">
        <v>2.23</v>
      </c>
    </row>
    <row r="234" spans="1:2" ht="15">
      <c r="A234" s="39">
        <v>41548</v>
      </c>
      <c r="B234" s="42">
        <v>2.2026</v>
      </c>
    </row>
    <row r="235" spans="1:2" ht="15">
      <c r="A235" s="39">
        <v>41579</v>
      </c>
      <c r="B235" s="42">
        <v>2.3249</v>
      </c>
    </row>
    <row r="236" spans="1:2" ht="15">
      <c r="A236" s="39">
        <v>41609</v>
      </c>
      <c r="B236" s="42">
        <v>2.3426</v>
      </c>
    </row>
    <row r="237" spans="1:2" ht="15">
      <c r="A237" s="39">
        <v>41640</v>
      </c>
      <c r="B237" s="42">
        <v>2.4263</v>
      </c>
    </row>
    <row r="238" spans="1:2" ht="15">
      <c r="A238" s="39">
        <v>41671</v>
      </c>
      <c r="B238" s="42">
        <v>2.3334</v>
      </c>
    </row>
    <row r="239" spans="1:2" ht="15">
      <c r="A239" s="39">
        <v>41699</v>
      </c>
      <c r="B239" s="42">
        <v>2.263</v>
      </c>
    </row>
    <row r="240" spans="1:2" ht="15">
      <c r="A240" s="39">
        <v>41730</v>
      </c>
      <c r="B240" s="42">
        <v>2.236</v>
      </c>
    </row>
    <row r="241" spans="1:2" ht="15">
      <c r="A241" s="39">
        <v>41760</v>
      </c>
      <c r="B241" s="42">
        <v>2.239</v>
      </c>
    </row>
    <row r="242" spans="1:2" ht="15">
      <c r="A242" s="39">
        <v>41791</v>
      </c>
      <c r="B242" s="42">
        <v>2.2025</v>
      </c>
    </row>
    <row r="243" spans="1:2" ht="15">
      <c r="A243" s="39">
        <v>41821</v>
      </c>
      <c r="B243" s="42">
        <v>2.2674</v>
      </c>
    </row>
    <row r="244" spans="1:2" ht="15">
      <c r="A244" s="39">
        <v>41852</v>
      </c>
      <c r="B244" s="42">
        <v>2.2396</v>
      </c>
    </row>
    <row r="245" spans="1:2" ht="15">
      <c r="A245" s="39">
        <v>41883</v>
      </c>
      <c r="B245" s="42">
        <v>2.451</v>
      </c>
    </row>
    <row r="246" spans="1:2" ht="15">
      <c r="A246" s="39">
        <v>41913</v>
      </c>
      <c r="B246" s="42">
        <v>2.4442</v>
      </c>
    </row>
    <row r="247" spans="1:2" ht="15">
      <c r="A247" s="39">
        <v>41944</v>
      </c>
      <c r="B247" s="42">
        <v>2.5601</v>
      </c>
    </row>
    <row r="248" spans="1:2" ht="15">
      <c r="A248" s="39">
        <v>41974</v>
      </c>
      <c r="B248" s="42">
        <v>2.6562</v>
      </c>
    </row>
    <row r="249" spans="1:2" ht="15">
      <c r="A249" s="39">
        <v>42005</v>
      </c>
      <c r="B249" s="42">
        <v>2.6623</v>
      </c>
    </row>
    <row r="250" spans="1:2" ht="15">
      <c r="A250" s="39">
        <v>42036</v>
      </c>
      <c r="B250" s="42">
        <v>2.8782</v>
      </c>
    </row>
    <row r="251" spans="1:2" ht="15">
      <c r="A251" s="39">
        <v>42064</v>
      </c>
      <c r="B251" s="42">
        <v>3.208</v>
      </c>
    </row>
    <row r="252" spans="1:2" ht="15">
      <c r="A252" s="39">
        <v>42095</v>
      </c>
      <c r="B252" s="42">
        <v>2.9936</v>
      </c>
    </row>
    <row r="253" spans="1:2" ht="15">
      <c r="A253" s="39">
        <v>42125</v>
      </c>
      <c r="B253" s="42">
        <v>3.1788</v>
      </c>
    </row>
    <row r="254" spans="1:2" ht="15">
      <c r="A254" s="39">
        <v>42156</v>
      </c>
      <c r="B254" s="42">
        <v>3.1026</v>
      </c>
    </row>
    <row r="255" spans="1:2" ht="15">
      <c r="A255" s="39">
        <v>42186</v>
      </c>
      <c r="B255" s="42">
        <v>3.394</v>
      </c>
    </row>
    <row r="256" spans="1:2" ht="15">
      <c r="A256" s="39">
        <v>42217</v>
      </c>
      <c r="B256" s="42">
        <v>3.6467</v>
      </c>
    </row>
    <row r="257" spans="1:2" ht="15">
      <c r="A257" s="39">
        <v>42248</v>
      </c>
      <c r="B257" s="42">
        <v>3.9729</v>
      </c>
    </row>
    <row r="258" spans="1:2" ht="15">
      <c r="A258" s="39">
        <v>42278</v>
      </c>
      <c r="B258" s="42">
        <v>3.8589</v>
      </c>
    </row>
    <row r="259" spans="1:2" ht="15">
      <c r="A259" s="39">
        <v>42309</v>
      </c>
      <c r="B259" s="42">
        <v>3.8506</v>
      </c>
    </row>
    <row r="260" spans="1:2" ht="15">
      <c r="A260" s="39">
        <v>42339</v>
      </c>
      <c r="B260" s="42">
        <v>3.9048</v>
      </c>
    </row>
    <row r="261" spans="1:2" ht="15">
      <c r="A261" s="39">
        <v>42370</v>
      </c>
      <c r="B261" s="42">
        <v>4.0428</v>
      </c>
    </row>
    <row r="262" spans="1:2" ht="15">
      <c r="A262" s="39">
        <v>42401</v>
      </c>
      <c r="B262" s="42">
        <v>3.9796</v>
      </c>
    </row>
    <row r="263" spans="1:2" ht="15">
      <c r="A263" s="39">
        <v>42430</v>
      </c>
      <c r="B263" s="42">
        <v>3.5589</v>
      </c>
    </row>
    <row r="264" spans="1:2" ht="15">
      <c r="A264" s="39">
        <v>42461</v>
      </c>
      <c r="B264" s="42">
        <v>3.4508</v>
      </c>
    </row>
    <row r="265" spans="1:2" ht="15">
      <c r="A265" s="39">
        <v>42491</v>
      </c>
      <c r="B265" s="42">
        <v>3.5951</v>
      </c>
    </row>
    <row r="266" spans="1:2" ht="15">
      <c r="A266" s="39">
        <v>42522</v>
      </c>
      <c r="B266" s="42">
        <v>3.2098</v>
      </c>
    </row>
    <row r="267" spans="1:2" ht="15">
      <c r="A267" s="39">
        <v>42552</v>
      </c>
      <c r="B267" s="42">
        <v>3.239</v>
      </c>
    </row>
    <row r="268" spans="1:2" ht="15">
      <c r="A268" s="39">
        <v>42583</v>
      </c>
      <c r="B268" s="42">
        <v>3.2403</v>
      </c>
    </row>
    <row r="269" spans="1:2" ht="15">
      <c r="A269" s="39">
        <v>42614</v>
      </c>
      <c r="B269" s="42">
        <v>3.2462</v>
      </c>
    </row>
    <row r="270" ht="15">
      <c r="A270" s="39"/>
    </row>
    <row r="271" ht="15">
      <c r="A271" s="39"/>
    </row>
    <row r="272" ht="15">
      <c r="A272" s="39"/>
    </row>
    <row r="273" ht="15">
      <c r="A273" s="39"/>
    </row>
    <row r="274" ht="15">
      <c r="A274" s="39"/>
    </row>
    <row r="275" ht="15">
      <c r="A275" s="39"/>
    </row>
  </sheetData>
  <sheetProtection/>
  <conditionalFormatting sqref="A3:A134">
    <cfRule type="cellIs" priority="20" dxfId="0" operator="greaterThan" stopIfTrue="1">
      <formula>"hoje()"</formula>
    </cfRule>
  </conditionalFormatting>
  <conditionalFormatting sqref="A3:A185 A187:A189">
    <cfRule type="cellIs" priority="19" dxfId="1651" operator="lessThan" stopIfTrue="1">
      <formula>TODAY()</formula>
    </cfRule>
  </conditionalFormatting>
  <conditionalFormatting sqref="A186 A191">
    <cfRule type="cellIs" priority="18" dxfId="1651" operator="lessThan" stopIfTrue="1">
      <formula>TODAY()</formula>
    </cfRule>
  </conditionalFormatting>
  <conditionalFormatting sqref="A190">
    <cfRule type="cellIs" priority="17" dxfId="1651" operator="lessThan" stopIfTrue="1">
      <formula>TODAY()</formula>
    </cfRule>
  </conditionalFormatting>
  <conditionalFormatting sqref="A192:A194">
    <cfRule type="cellIs" priority="16" dxfId="1651" operator="lessThan" stopIfTrue="1">
      <formula>TODAY()</formula>
    </cfRule>
  </conditionalFormatting>
  <conditionalFormatting sqref="A195:A206">
    <cfRule type="cellIs" priority="15" dxfId="1651" operator="lessThan" stopIfTrue="1">
      <formula>TODAY()</formula>
    </cfRule>
  </conditionalFormatting>
  <conditionalFormatting sqref="A207">
    <cfRule type="cellIs" priority="14" dxfId="1651" operator="lessThan" stopIfTrue="1">
      <formula>TODAY()</formula>
    </cfRule>
  </conditionalFormatting>
  <conditionalFormatting sqref="A208:A210">
    <cfRule type="cellIs" priority="13" dxfId="1651" operator="lessThan" stopIfTrue="1">
      <formula>TODAY()</formula>
    </cfRule>
  </conditionalFormatting>
  <conditionalFormatting sqref="A210:A216">
    <cfRule type="cellIs" priority="12" dxfId="1651" operator="lessThan" stopIfTrue="1">
      <formula>TODAY()</formula>
    </cfRule>
  </conditionalFormatting>
  <conditionalFormatting sqref="A215">
    <cfRule type="cellIs" priority="11" dxfId="1651" operator="lessThan" stopIfTrue="1">
      <formula>TODAY()</formula>
    </cfRule>
  </conditionalFormatting>
  <conditionalFormatting sqref="A217">
    <cfRule type="cellIs" priority="10" dxfId="1651" operator="lessThan" stopIfTrue="1">
      <formula>TODAY()</formula>
    </cfRule>
  </conditionalFormatting>
  <conditionalFormatting sqref="A217">
    <cfRule type="cellIs" priority="9" dxfId="1651" operator="lessThan" stopIfTrue="1">
      <formula>TODAY()</formula>
    </cfRule>
  </conditionalFormatting>
  <conditionalFormatting sqref="A218:A219">
    <cfRule type="cellIs" priority="8" dxfId="1651" operator="lessThan" stopIfTrue="1">
      <formula>TODAY()</formula>
    </cfRule>
  </conditionalFormatting>
  <conditionalFormatting sqref="A219:A228 A230:A236 A238 A240 A243 A246 A249 A251:A252 A254:A275">
    <cfRule type="cellIs" priority="7" dxfId="1651" operator="lessThan" stopIfTrue="1">
      <formula>TODAY()</formula>
    </cfRule>
  </conditionalFormatting>
  <conditionalFormatting sqref="A229">
    <cfRule type="cellIs" priority="6" dxfId="1651" operator="lessThan" stopIfTrue="1">
      <formula>TODAY()</formula>
    </cfRule>
  </conditionalFormatting>
  <conditionalFormatting sqref="A229:A237 A239 A241:A242 A244:A245 A247:A248 A250 A253 A260">
    <cfRule type="cellIs" priority="5" dxfId="1651" operator="lessThan" stopIfTrue="1">
      <formula>TODAY()</formula>
    </cfRule>
  </conditionalFormatting>
  <conditionalFormatting sqref="A208">
    <cfRule type="cellIs" priority="4" dxfId="1651" operator="lessThan" stopIfTrue="1">
      <formula>TODAY()</formula>
    </cfRule>
  </conditionalFormatting>
  <conditionalFormatting sqref="A208">
    <cfRule type="cellIs" priority="3" dxfId="1651" operator="lessThan" stopIfTrue="1">
      <formula>TODAY()</formula>
    </cfRule>
  </conditionalFormatting>
  <conditionalFormatting sqref="A241:A247">
    <cfRule type="cellIs" priority="2" dxfId="1651" operator="lessThan" stopIfTrue="1">
      <formula>TODAY()</formula>
    </cfRule>
  </conditionalFormatting>
  <conditionalFormatting sqref="A250:A253 A260">
    <cfRule type="cellIs" priority="1" dxfId="1651" operator="lessThan" stopIfTrue="1">
      <formula>TODAY()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9"/>
  <sheetViews>
    <sheetView showGridLines="0" tabSelected="1" zoomScalePageLayoutView="0" workbookViewId="0" topLeftCell="A1">
      <pane xSplit="1" ySplit="11" topLeftCell="B13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49" sqref="A149"/>
    </sheetView>
  </sheetViews>
  <sheetFormatPr defaultColWidth="9.140625" defaultRowHeight="12.75"/>
  <cols>
    <col min="1" max="1" width="10.7109375" style="13" customWidth="1"/>
    <col min="2" max="2" width="24.00390625" style="11" customWidth="1"/>
    <col min="3" max="3" width="24.8515625" style="11" customWidth="1"/>
    <col min="4" max="4" width="21.8515625" style="15" customWidth="1"/>
    <col min="5" max="5" width="9.140625" style="11" customWidth="1"/>
    <col min="6" max="6" width="13.421875" style="11" customWidth="1"/>
    <col min="7" max="40" width="9.140625" style="11" customWidth="1"/>
    <col min="41" max="16384" width="9.140625" style="12" customWidth="1"/>
  </cols>
  <sheetData>
    <row r="1" ht="12.75">
      <c r="A1" s="16" t="s">
        <v>50</v>
      </c>
    </row>
    <row r="2" ht="12.75">
      <c r="A2" s="16"/>
    </row>
    <row r="3" spans="1:6" ht="12.75">
      <c r="A3" s="47"/>
      <c r="B3" s="48"/>
      <c r="C3" s="48"/>
      <c r="D3" s="48"/>
      <c r="E3" s="48"/>
      <c r="F3" s="48"/>
    </row>
    <row r="4" spans="1:6" ht="12.75">
      <c r="A4" s="26"/>
      <c r="B4" s="27"/>
      <c r="C4" s="27"/>
      <c r="D4" s="27"/>
      <c r="E4" s="27"/>
      <c r="F4" s="27"/>
    </row>
    <row r="5" spans="1:6" ht="12.75">
      <c r="A5" s="26"/>
      <c r="B5" s="27"/>
      <c r="C5" s="27"/>
      <c r="D5" s="27"/>
      <c r="E5" s="27"/>
      <c r="F5" s="27"/>
    </row>
    <row r="6" spans="1:6" ht="12.75">
      <c r="A6" s="26"/>
      <c r="B6" s="27"/>
      <c r="C6" s="27"/>
      <c r="D6" s="27"/>
      <c r="E6" s="27"/>
      <c r="F6" s="27"/>
    </row>
    <row r="7" spans="1:6" ht="12.75">
      <c r="A7" s="26"/>
      <c r="B7" s="27"/>
      <c r="C7" s="27"/>
      <c r="D7" s="27"/>
      <c r="E7" s="27"/>
      <c r="F7" s="27"/>
    </row>
    <row r="8" ht="12.75">
      <c r="A8" s="16"/>
    </row>
    <row r="9" ht="12.75">
      <c r="A9" s="16"/>
    </row>
    <row r="10" ht="13.5" thickBot="1">
      <c r="A10" s="16"/>
    </row>
    <row r="11" spans="1:40" s="10" customFormat="1" ht="13.5" thickBot="1">
      <c r="A11" s="30" t="s">
        <v>0</v>
      </c>
      <c r="B11" s="31" t="s">
        <v>8</v>
      </c>
      <c r="C11" s="31" t="s">
        <v>9</v>
      </c>
      <c r="D11" s="32" t="s">
        <v>10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1" s="11" customFormat="1" ht="12.75">
      <c r="A12" s="28">
        <v>38353</v>
      </c>
      <c r="B12" s="29">
        <v>1617.361393</v>
      </c>
      <c r="C12" s="29">
        <v>1436.599802</v>
      </c>
      <c r="D12" s="29">
        <f aca="true" t="shared" si="0" ref="D12:D36">B12-C12</f>
        <v>180.76159099999995</v>
      </c>
      <c r="AO12" s="12"/>
    </row>
    <row r="13" spans="1:41" s="11" customFormat="1" ht="12.75">
      <c r="A13" s="28">
        <v>38384</v>
      </c>
      <c r="B13" s="29">
        <v>2571.157313</v>
      </c>
      <c r="C13" s="29">
        <v>2349.45599</v>
      </c>
      <c r="D13" s="29">
        <f t="shared" si="0"/>
        <v>221.70132300000023</v>
      </c>
      <c r="AO13" s="12"/>
    </row>
    <row r="14" spans="1:41" s="11" customFormat="1" ht="12.75">
      <c r="A14" s="28">
        <v>38412</v>
      </c>
      <c r="B14" s="29">
        <v>2937.450322</v>
      </c>
      <c r="C14" s="29">
        <v>2230.250489</v>
      </c>
      <c r="D14" s="29">
        <f t="shared" si="0"/>
        <v>707.1998330000001</v>
      </c>
      <c r="AO14" s="12"/>
    </row>
    <row r="15" spans="1:41" s="11" customFormat="1" ht="12.75">
      <c r="A15" s="28">
        <v>38443</v>
      </c>
      <c r="B15" s="29">
        <v>2722.808644</v>
      </c>
      <c r="C15" s="29">
        <v>3126.946815</v>
      </c>
      <c r="D15" s="29">
        <f t="shared" si="0"/>
        <v>-404.1381709999996</v>
      </c>
      <c r="AO15" s="12"/>
    </row>
    <row r="16" spans="1:41" s="11" customFormat="1" ht="12.75">
      <c r="A16" s="28">
        <v>38473</v>
      </c>
      <c r="B16" s="29">
        <v>1172.741896</v>
      </c>
      <c r="C16" s="29">
        <v>2131.5029560000003</v>
      </c>
      <c r="D16" s="29">
        <f t="shared" si="0"/>
        <v>-958.7610600000003</v>
      </c>
      <c r="AO16" s="12"/>
    </row>
    <row r="17" spans="1:41" s="11" customFormat="1" ht="12.75">
      <c r="A17" s="28">
        <v>38504</v>
      </c>
      <c r="B17" s="29">
        <v>2753.964247</v>
      </c>
      <c r="C17" s="29">
        <v>2964.338124</v>
      </c>
      <c r="D17" s="29">
        <f t="shared" si="0"/>
        <v>-210.373877</v>
      </c>
      <c r="AO17" s="12"/>
    </row>
    <row r="18" spans="1:41" s="11" customFormat="1" ht="12.75">
      <c r="A18" s="28">
        <v>38534</v>
      </c>
      <c r="B18" s="29">
        <v>2918.06385</v>
      </c>
      <c r="C18" s="29">
        <v>1888.168674</v>
      </c>
      <c r="D18" s="29">
        <f t="shared" si="0"/>
        <v>1029.895176</v>
      </c>
      <c r="AO18" s="12"/>
    </row>
    <row r="19" spans="1:41" s="11" customFormat="1" ht="12.75">
      <c r="A19" s="28">
        <v>38565</v>
      </c>
      <c r="B19" s="29">
        <v>2087.359322</v>
      </c>
      <c r="C19" s="29">
        <v>3265.615805</v>
      </c>
      <c r="D19" s="29">
        <f t="shared" si="0"/>
        <v>-1178.2564830000001</v>
      </c>
      <c r="AO19" s="12"/>
    </row>
    <row r="20" spans="1:41" s="11" customFormat="1" ht="12.75">
      <c r="A20" s="28">
        <v>38596</v>
      </c>
      <c r="B20" s="29">
        <v>3406.136482</v>
      </c>
      <c r="C20" s="29">
        <v>2889.875156</v>
      </c>
      <c r="D20" s="29">
        <f t="shared" si="0"/>
        <v>516.2613259999998</v>
      </c>
      <c r="AO20" s="12"/>
    </row>
    <row r="21" spans="1:41" s="11" customFormat="1" ht="12.75">
      <c r="A21" s="28">
        <v>38626</v>
      </c>
      <c r="B21" s="29">
        <v>2915.361746</v>
      </c>
      <c r="C21" s="29">
        <v>3275.181486</v>
      </c>
      <c r="D21" s="29">
        <f t="shared" si="0"/>
        <v>-359.8197399999999</v>
      </c>
      <c r="AO21" s="12"/>
    </row>
    <row r="22" spans="1:41" s="11" customFormat="1" ht="12.75">
      <c r="A22" s="28">
        <v>38657</v>
      </c>
      <c r="B22" s="29">
        <v>3780.31</v>
      </c>
      <c r="C22" s="29">
        <v>2949.14</v>
      </c>
      <c r="D22" s="29">
        <f t="shared" si="0"/>
        <v>831.1700000000001</v>
      </c>
      <c r="AO22" s="12"/>
    </row>
    <row r="23" spans="1:41" s="11" customFormat="1" ht="12.75">
      <c r="A23" s="28">
        <v>38687</v>
      </c>
      <c r="B23" s="29">
        <v>7155.851916</v>
      </c>
      <c r="C23" s="29">
        <v>6824.790054</v>
      </c>
      <c r="D23" s="29">
        <f t="shared" si="0"/>
        <v>331.06186199999956</v>
      </c>
      <c r="AO23" s="12"/>
    </row>
    <row r="24" spans="1:41" s="11" customFormat="1" ht="12.75">
      <c r="A24" s="28">
        <v>38718</v>
      </c>
      <c r="B24" s="29">
        <v>3252.353908</v>
      </c>
      <c r="C24" s="29">
        <v>3003.726079</v>
      </c>
      <c r="D24" s="29">
        <f t="shared" si="0"/>
        <v>248.62782900000002</v>
      </c>
      <c r="AO24" s="12"/>
    </row>
    <row r="25" spans="1:41" s="11" customFormat="1" ht="12.75">
      <c r="A25" s="28">
        <v>38749</v>
      </c>
      <c r="B25" s="29">
        <v>6925.225387</v>
      </c>
      <c r="C25" s="29">
        <v>4191.220951</v>
      </c>
      <c r="D25" s="29">
        <f t="shared" si="0"/>
        <v>2734.004436</v>
      </c>
      <c r="AO25" s="12"/>
    </row>
    <row r="26" spans="1:41" s="11" customFormat="1" ht="12.75">
      <c r="A26" s="28">
        <v>38777</v>
      </c>
      <c r="B26" s="29">
        <v>5365.936904</v>
      </c>
      <c r="C26" s="29">
        <v>4573.042893</v>
      </c>
      <c r="D26" s="29">
        <f t="shared" si="0"/>
        <v>792.8940110000003</v>
      </c>
      <c r="AO26" s="12"/>
    </row>
    <row r="27" spans="1:41" s="11" customFormat="1" ht="12.75">
      <c r="A27" s="28">
        <v>38808</v>
      </c>
      <c r="B27" s="29">
        <v>4259.556776</v>
      </c>
      <c r="C27" s="29">
        <v>3359.982167</v>
      </c>
      <c r="D27" s="29">
        <f t="shared" si="0"/>
        <v>899.5746090000002</v>
      </c>
      <c r="AO27" s="12"/>
    </row>
    <row r="28" spans="1:41" s="11" customFormat="1" ht="12.75">
      <c r="A28" s="28">
        <v>38838</v>
      </c>
      <c r="B28" s="29">
        <v>6907.937511</v>
      </c>
      <c r="C28" s="29">
        <v>7425.303915</v>
      </c>
      <c r="D28" s="29">
        <f t="shared" si="0"/>
        <v>-517.3664040000003</v>
      </c>
      <c r="AO28" s="12"/>
    </row>
    <row r="29" spans="1:41" s="11" customFormat="1" ht="12.75">
      <c r="A29" s="28">
        <v>38869</v>
      </c>
      <c r="B29" s="29">
        <v>5461.06057</v>
      </c>
      <c r="C29" s="29">
        <v>5908.10179</v>
      </c>
      <c r="D29" s="29">
        <f t="shared" si="0"/>
        <v>-447.04122000000007</v>
      </c>
      <c r="AO29" s="12"/>
    </row>
    <row r="30" spans="1:41" s="11" customFormat="1" ht="12.75">
      <c r="A30" s="28">
        <v>38899</v>
      </c>
      <c r="B30" s="29">
        <v>3583.672422</v>
      </c>
      <c r="C30" s="29">
        <v>3020.243269</v>
      </c>
      <c r="D30" s="29">
        <f t="shared" si="0"/>
        <v>563.429153</v>
      </c>
      <c r="AO30" s="12"/>
    </row>
    <row r="31" spans="1:41" s="11" customFormat="1" ht="12.75">
      <c r="A31" s="28">
        <v>38930</v>
      </c>
      <c r="B31" s="29">
        <v>4008.688608</v>
      </c>
      <c r="C31" s="29">
        <v>3936.040878</v>
      </c>
      <c r="D31" s="29">
        <f t="shared" si="0"/>
        <v>72.64773000000014</v>
      </c>
      <c r="AO31" s="12"/>
    </row>
    <row r="32" spans="1:41" s="11" customFormat="1" ht="12.75">
      <c r="A32" s="28">
        <v>38961</v>
      </c>
      <c r="B32" s="29">
        <v>3747.278309</v>
      </c>
      <c r="C32" s="29">
        <v>2843.460271</v>
      </c>
      <c r="D32" s="29">
        <f t="shared" si="0"/>
        <v>903.8180379999999</v>
      </c>
      <c r="AO32" s="12"/>
    </row>
    <row r="33" spans="1:41" s="11" customFormat="1" ht="12.75">
      <c r="A33" s="28">
        <v>38991</v>
      </c>
      <c r="B33" s="29">
        <v>5771.302048</v>
      </c>
      <c r="C33" s="29">
        <v>3548.070969</v>
      </c>
      <c r="D33" s="29">
        <f t="shared" si="0"/>
        <v>2223.2310789999997</v>
      </c>
      <c r="AO33" s="12"/>
    </row>
    <row r="34" spans="1:41" s="11" customFormat="1" ht="12.75">
      <c r="A34" s="28">
        <v>39022</v>
      </c>
      <c r="B34" s="29">
        <v>5115.518836</v>
      </c>
      <c r="C34" s="29">
        <v>4004.439249</v>
      </c>
      <c r="D34" s="29">
        <f t="shared" si="0"/>
        <v>1111.0795870000002</v>
      </c>
      <c r="AO34" s="12"/>
    </row>
    <row r="35" spans="1:41" s="11" customFormat="1" ht="12.75">
      <c r="A35" s="28">
        <v>39052</v>
      </c>
      <c r="B35" s="29">
        <v>5446.485217</v>
      </c>
      <c r="C35" s="29">
        <v>3830.154869</v>
      </c>
      <c r="D35" s="29">
        <f t="shared" si="0"/>
        <v>1616.3303480000004</v>
      </c>
      <c r="AO35" s="12"/>
    </row>
    <row r="36" spans="1:41" s="11" customFormat="1" ht="12.75">
      <c r="A36" s="28">
        <v>39083</v>
      </c>
      <c r="B36" s="29">
        <v>5516.230425</v>
      </c>
      <c r="C36" s="29">
        <v>5436.688634</v>
      </c>
      <c r="D36" s="29">
        <f t="shared" si="0"/>
        <v>79.54179099999965</v>
      </c>
      <c r="AO36" s="12"/>
    </row>
    <row r="37" spans="1:41" s="11" customFormat="1" ht="12.75">
      <c r="A37" s="28">
        <v>39114</v>
      </c>
      <c r="B37" s="29">
        <v>7576.579357</v>
      </c>
      <c r="C37" s="29">
        <v>5201.649194</v>
      </c>
      <c r="D37" s="29">
        <f aca="true" t="shared" si="1" ref="D37:D111">B37-C37</f>
        <v>2374.930163</v>
      </c>
      <c r="AO37" s="12"/>
    </row>
    <row r="38" spans="1:41" s="11" customFormat="1" ht="12.75">
      <c r="A38" s="28">
        <v>39142</v>
      </c>
      <c r="B38" s="29">
        <v>8387.921139</v>
      </c>
      <c r="C38" s="29">
        <v>7881.141539</v>
      </c>
      <c r="D38" s="29">
        <f t="shared" si="1"/>
        <v>506.77959999999985</v>
      </c>
      <c r="AO38" s="12"/>
    </row>
    <row r="39" spans="1:41" s="11" customFormat="1" ht="12.75">
      <c r="A39" s="28">
        <v>39173</v>
      </c>
      <c r="B39" s="29">
        <v>10403.724889</v>
      </c>
      <c r="C39" s="29">
        <v>5459.208431</v>
      </c>
      <c r="D39" s="29">
        <f t="shared" si="1"/>
        <v>4944.516457999999</v>
      </c>
      <c r="AO39" s="12"/>
    </row>
    <row r="40" spans="1:41" s="11" customFormat="1" ht="12.75">
      <c r="A40" s="28">
        <v>39203</v>
      </c>
      <c r="B40" s="29">
        <v>12324.365587</v>
      </c>
      <c r="C40" s="29">
        <v>8384.165504</v>
      </c>
      <c r="D40" s="29">
        <f t="shared" si="1"/>
        <v>3940.2000829999997</v>
      </c>
      <c r="AO40" s="12"/>
    </row>
    <row r="41" spans="1:41" s="11" customFormat="1" ht="12.75">
      <c r="A41" s="28">
        <v>39234</v>
      </c>
      <c r="B41" s="29">
        <v>12985.998078</v>
      </c>
      <c r="C41" s="29">
        <v>11012.250467</v>
      </c>
      <c r="D41" s="29">
        <f t="shared" si="1"/>
        <v>1973.7476110000007</v>
      </c>
      <c r="AO41" s="12"/>
    </row>
    <row r="42" spans="1:41" s="11" customFormat="1" ht="12.75">
      <c r="A42" s="28">
        <v>39264</v>
      </c>
      <c r="B42" s="29">
        <v>14639.170264</v>
      </c>
      <c r="C42" s="29">
        <v>10432.351471</v>
      </c>
      <c r="D42" s="29">
        <f t="shared" si="1"/>
        <v>4206.818793</v>
      </c>
      <c r="AO42" s="12"/>
    </row>
    <row r="43" spans="1:41" s="11" customFormat="1" ht="12.75">
      <c r="A43" s="28">
        <v>39295</v>
      </c>
      <c r="B43" s="29">
        <v>17229.917847</v>
      </c>
      <c r="C43" s="29">
        <v>14633.528651</v>
      </c>
      <c r="D43" s="29">
        <f t="shared" si="1"/>
        <v>2596.389196</v>
      </c>
      <c r="AO43" s="12"/>
    </row>
    <row r="44" spans="1:41" s="11" customFormat="1" ht="12.75">
      <c r="A44" s="28">
        <v>39326</v>
      </c>
      <c r="B44" s="29">
        <v>12538.613861</v>
      </c>
      <c r="C44" s="29">
        <v>9551.023194</v>
      </c>
      <c r="D44" s="29">
        <f t="shared" si="1"/>
        <v>2987.5906670000004</v>
      </c>
      <c r="AO44" s="12"/>
    </row>
    <row r="45" spans="1:41" s="11" customFormat="1" ht="12.75">
      <c r="A45" s="28">
        <v>39356</v>
      </c>
      <c r="B45" s="29">
        <v>19432.205864</v>
      </c>
      <c r="C45" s="29">
        <v>14703.777841</v>
      </c>
      <c r="D45" s="29">
        <f t="shared" si="1"/>
        <v>4728.428023</v>
      </c>
      <c r="AO45" s="12"/>
    </row>
    <row r="46" spans="1:41" s="11" customFormat="1" ht="12.75">
      <c r="A46" s="28">
        <v>39387</v>
      </c>
      <c r="B46" s="29">
        <v>12568.287954</v>
      </c>
      <c r="C46" s="29">
        <v>14393.505954</v>
      </c>
      <c r="D46" s="29">
        <f t="shared" si="1"/>
        <v>-1825.2180000000008</v>
      </c>
      <c r="AO46" s="12"/>
    </row>
    <row r="47" spans="1:41" s="11" customFormat="1" ht="12.75">
      <c r="A47" s="28">
        <v>39417</v>
      </c>
      <c r="B47" s="29">
        <v>21039.614899</v>
      </c>
      <c r="C47" s="29">
        <v>13675.752491</v>
      </c>
      <c r="D47" s="29">
        <f t="shared" si="1"/>
        <v>7363.862408000001</v>
      </c>
      <c r="AO47" s="12"/>
    </row>
    <row r="48" spans="1:41" s="11" customFormat="1" ht="12.75">
      <c r="A48" s="28">
        <v>39448</v>
      </c>
      <c r="B48" s="29">
        <v>19741.202127</v>
      </c>
      <c r="C48" s="29">
        <v>18354.609907</v>
      </c>
      <c r="D48" s="29">
        <f t="shared" si="1"/>
        <v>1386.5922200000023</v>
      </c>
      <c r="AO48" s="12"/>
    </row>
    <row r="49" spans="1:41" s="11" customFormat="1" ht="12.75">
      <c r="A49" s="28">
        <v>39479</v>
      </c>
      <c r="B49" s="29">
        <v>15055.560573</v>
      </c>
      <c r="C49" s="29">
        <v>12652.72357</v>
      </c>
      <c r="D49" s="29">
        <f t="shared" si="1"/>
        <v>2402.8370030000005</v>
      </c>
      <c r="AO49" s="12"/>
    </row>
    <row r="50" spans="1:41" s="11" customFormat="1" ht="12.75">
      <c r="A50" s="28">
        <v>39508</v>
      </c>
      <c r="B50" s="29">
        <v>24450.768914</v>
      </c>
      <c r="C50" s="29">
        <v>18462.749096</v>
      </c>
      <c r="D50" s="29">
        <f t="shared" si="1"/>
        <v>5988.019818000001</v>
      </c>
      <c r="AO50" s="12"/>
    </row>
    <row r="51" spans="1:41" s="11" customFormat="1" ht="12.75">
      <c r="A51" s="28">
        <v>39539</v>
      </c>
      <c r="B51" s="29">
        <v>16378.348303</v>
      </c>
      <c r="C51" s="29">
        <v>10245.279665</v>
      </c>
      <c r="D51" s="29">
        <f t="shared" si="1"/>
        <v>6133.068638000001</v>
      </c>
      <c r="AO51" s="12"/>
    </row>
    <row r="52" spans="1:41" s="11" customFormat="1" ht="12.75">
      <c r="A52" s="28">
        <v>39569</v>
      </c>
      <c r="B52" s="29">
        <v>18318.754273</v>
      </c>
      <c r="C52" s="29">
        <v>18960.346779</v>
      </c>
      <c r="D52" s="29">
        <f t="shared" si="1"/>
        <v>-641.5925060000009</v>
      </c>
      <c r="AO52" s="12"/>
    </row>
    <row r="53" spans="1:41" s="11" customFormat="1" ht="12.75">
      <c r="A53" s="28">
        <v>39600</v>
      </c>
      <c r="B53" s="29">
        <v>29766.738188</v>
      </c>
      <c r="C53" s="29">
        <v>29617.3218</v>
      </c>
      <c r="D53" s="29">
        <f t="shared" si="1"/>
        <v>149.41638799999782</v>
      </c>
      <c r="AO53" s="12"/>
    </row>
    <row r="54" spans="1:41" s="11" customFormat="1" ht="12.75">
      <c r="A54" s="28">
        <v>39630</v>
      </c>
      <c r="B54" s="29">
        <v>23682.616705</v>
      </c>
      <c r="C54" s="29">
        <v>27848.408814</v>
      </c>
      <c r="D54" s="29">
        <f t="shared" si="1"/>
        <v>-4165.792108999998</v>
      </c>
      <c r="AO54" s="12"/>
    </row>
    <row r="55" spans="1:41" s="11" customFormat="1" ht="12.75">
      <c r="A55" s="28">
        <v>39661</v>
      </c>
      <c r="B55" s="29">
        <v>31321.193014</v>
      </c>
      <c r="C55" s="29">
        <v>30367.78507</v>
      </c>
      <c r="D55" s="29">
        <f t="shared" si="1"/>
        <v>953.4079439999987</v>
      </c>
      <c r="AO55" s="12"/>
    </row>
    <row r="56" spans="1:41" s="11" customFormat="1" ht="12.75">
      <c r="A56" s="28">
        <v>39692</v>
      </c>
      <c r="B56" s="29">
        <v>11254.665714</v>
      </c>
      <c r="C56" s="29">
        <v>13011.093328</v>
      </c>
      <c r="D56" s="29">
        <f t="shared" si="1"/>
        <v>-1756.4276140000002</v>
      </c>
      <c r="AO56" s="12"/>
    </row>
    <row r="57" spans="1:41" s="11" customFormat="1" ht="12.75">
      <c r="A57" s="28">
        <v>39722</v>
      </c>
      <c r="B57" s="29">
        <v>11541.685381</v>
      </c>
      <c r="C57" s="29">
        <v>19485.099061</v>
      </c>
      <c r="D57" s="29">
        <f t="shared" si="1"/>
        <v>-7943.4136800000015</v>
      </c>
      <c r="AO57" s="12"/>
    </row>
    <row r="58" spans="1:41" s="11" customFormat="1" ht="12.75">
      <c r="A58" s="28">
        <v>39753</v>
      </c>
      <c r="B58" s="29">
        <v>7882.155899</v>
      </c>
      <c r="C58" s="29">
        <v>11443.813421</v>
      </c>
      <c r="D58" s="29">
        <f t="shared" si="1"/>
        <v>-3561.6575220000004</v>
      </c>
      <c r="AO58" s="12"/>
    </row>
    <row r="59" spans="1:41" s="11" customFormat="1" ht="12.75">
      <c r="A59" s="28">
        <v>39783</v>
      </c>
      <c r="B59" s="29">
        <v>9293.597321</v>
      </c>
      <c r="C59" s="29">
        <v>8783.672402</v>
      </c>
      <c r="D59" s="29">
        <f t="shared" si="1"/>
        <v>509.92491899999914</v>
      </c>
      <c r="AO59" s="12"/>
    </row>
    <row r="60" spans="1:41" s="11" customFormat="1" ht="12.75">
      <c r="A60" s="28">
        <v>39814</v>
      </c>
      <c r="B60" s="29">
        <v>6131.402011</v>
      </c>
      <c r="C60" s="29">
        <v>9205.698538</v>
      </c>
      <c r="D60" s="29">
        <f t="shared" si="1"/>
        <v>-3074.2965270000004</v>
      </c>
      <c r="AO60" s="12"/>
    </row>
    <row r="61" spans="1:41" s="11" customFormat="1" ht="12.75">
      <c r="A61" s="28">
        <v>39845</v>
      </c>
      <c r="B61" s="29">
        <v>6036.689599</v>
      </c>
      <c r="C61" s="29">
        <v>7440.890904</v>
      </c>
      <c r="D61" s="29">
        <f t="shared" si="1"/>
        <v>-1404.2013049999996</v>
      </c>
      <c r="AO61" s="12"/>
    </row>
    <row r="62" spans="1:41" s="11" customFormat="1" ht="12.75">
      <c r="A62" s="28">
        <v>39873</v>
      </c>
      <c r="B62" s="29">
        <v>9033.502757</v>
      </c>
      <c r="C62" s="29">
        <v>7695.057143</v>
      </c>
      <c r="D62" s="29">
        <f t="shared" si="1"/>
        <v>1338.4456140000002</v>
      </c>
      <c r="AO62" s="12"/>
    </row>
    <row r="63" spans="1:41" s="11" customFormat="1" ht="12.75">
      <c r="A63" s="28">
        <v>39904</v>
      </c>
      <c r="B63" s="29">
        <v>8761.058771</v>
      </c>
      <c r="C63" s="29">
        <v>8521.126801</v>
      </c>
      <c r="D63" s="29">
        <f t="shared" si="1"/>
        <v>239.93196999999964</v>
      </c>
      <c r="AO63" s="12"/>
    </row>
    <row r="64" spans="1:41" s="11" customFormat="1" ht="12.75">
      <c r="A64" s="28">
        <v>39934</v>
      </c>
      <c r="B64" s="29">
        <v>15316.259423</v>
      </c>
      <c r="C64" s="29">
        <v>12285.455596</v>
      </c>
      <c r="D64" s="29">
        <f t="shared" si="1"/>
        <v>3030.8038269999997</v>
      </c>
      <c r="AO64" s="12"/>
    </row>
    <row r="65" spans="1:41" s="11" customFormat="1" ht="12.75">
      <c r="A65" s="28">
        <v>39965</v>
      </c>
      <c r="B65" s="29">
        <v>12357.090393</v>
      </c>
      <c r="C65" s="29">
        <v>13840.478514</v>
      </c>
      <c r="D65" s="29">
        <f t="shared" si="1"/>
        <v>-1483.388121</v>
      </c>
      <c r="AO65" s="12"/>
    </row>
    <row r="66" spans="1:41" s="11" customFormat="1" ht="12.75">
      <c r="A66" s="28">
        <v>39995</v>
      </c>
      <c r="B66" s="29">
        <v>17334.619136</v>
      </c>
      <c r="C66" s="29">
        <v>11982.181035</v>
      </c>
      <c r="D66" s="29">
        <f t="shared" si="1"/>
        <v>5352.438101000002</v>
      </c>
      <c r="AO66" s="12"/>
    </row>
    <row r="67" spans="1:41" s="11" customFormat="1" ht="12.75">
      <c r="A67" s="28">
        <v>40026</v>
      </c>
      <c r="B67" s="29">
        <v>11749.248448</v>
      </c>
      <c r="C67" s="29">
        <v>8391.343828</v>
      </c>
      <c r="D67" s="29">
        <f t="shared" si="1"/>
        <v>3357.904620000001</v>
      </c>
      <c r="AO67" s="12"/>
    </row>
    <row r="68" spans="1:41" s="11" customFormat="1" ht="12.75">
      <c r="A68" s="28">
        <v>40057</v>
      </c>
      <c r="B68" s="29">
        <v>16960.623735</v>
      </c>
      <c r="C68" s="29">
        <v>11824.492432</v>
      </c>
      <c r="D68" s="29">
        <f t="shared" si="1"/>
        <v>5136.131303000002</v>
      </c>
      <c r="AO68" s="12"/>
    </row>
    <row r="69" spans="1:41" s="11" customFormat="1" ht="12.75">
      <c r="A69" s="28">
        <v>40087</v>
      </c>
      <c r="B69" s="29">
        <v>20633.039187</v>
      </c>
      <c r="C69" s="29">
        <v>10598.061594</v>
      </c>
      <c r="D69" s="29">
        <f t="shared" si="1"/>
        <v>10034.977592999998</v>
      </c>
      <c r="AO69" s="12"/>
    </row>
    <row r="70" spans="1:41" s="11" customFormat="1" ht="12.75">
      <c r="A70" s="28">
        <v>40118</v>
      </c>
      <c r="B70" s="29">
        <v>8103.877342</v>
      </c>
      <c r="C70" s="29">
        <v>7264.495235</v>
      </c>
      <c r="D70" s="29">
        <f t="shared" si="1"/>
        <v>839.3821069999995</v>
      </c>
      <c r="AO70" s="12"/>
    </row>
    <row r="71" spans="1:41" s="11" customFormat="1" ht="12.75">
      <c r="A71" s="28">
        <v>40148</v>
      </c>
      <c r="B71" s="29">
        <v>10116.107804</v>
      </c>
      <c r="C71" s="29">
        <v>6357.621494</v>
      </c>
      <c r="D71" s="29">
        <f t="shared" si="1"/>
        <v>3758.4863099999993</v>
      </c>
      <c r="AO71" s="12"/>
    </row>
    <row r="72" spans="1:41" s="11" customFormat="1" ht="12.75">
      <c r="A72" s="28">
        <v>40179</v>
      </c>
      <c r="B72" s="29">
        <v>10201.750372</v>
      </c>
      <c r="C72" s="29">
        <v>6892.191007</v>
      </c>
      <c r="D72" s="29">
        <f t="shared" si="1"/>
        <v>3309.559365</v>
      </c>
      <c r="AO72" s="12"/>
    </row>
    <row r="73" spans="1:41" s="11" customFormat="1" ht="12.75">
      <c r="A73" s="28">
        <v>40210</v>
      </c>
      <c r="B73" s="29">
        <v>7788.468474</v>
      </c>
      <c r="C73" s="29">
        <v>4519.21968</v>
      </c>
      <c r="D73" s="29">
        <f t="shared" si="1"/>
        <v>3269.248794</v>
      </c>
      <c r="AO73" s="12"/>
    </row>
    <row r="74" spans="1:41" s="11" customFormat="1" ht="12.75">
      <c r="A74" s="28">
        <v>40238</v>
      </c>
      <c r="B74" s="29">
        <v>9187.821372</v>
      </c>
      <c r="C74" s="29">
        <v>5685.306983</v>
      </c>
      <c r="D74" s="29">
        <f t="shared" si="1"/>
        <v>3502.514389</v>
      </c>
      <c r="AO74" s="12"/>
    </row>
    <row r="75" spans="1:41" s="11" customFormat="1" ht="12.75">
      <c r="A75" s="28">
        <v>40269</v>
      </c>
      <c r="B75" s="29">
        <v>10876.958024</v>
      </c>
      <c r="C75" s="29">
        <v>7126.338751</v>
      </c>
      <c r="D75" s="29">
        <f t="shared" si="1"/>
        <v>3750.6192729999993</v>
      </c>
      <c r="AO75" s="12"/>
    </row>
    <row r="76" spans="1:41" s="11" customFormat="1" ht="12.75">
      <c r="A76" s="28">
        <v>40299</v>
      </c>
      <c r="B76" s="29">
        <v>15618.663134</v>
      </c>
      <c r="C76" s="29">
        <v>11398.468398</v>
      </c>
      <c r="D76" s="29">
        <f t="shared" si="1"/>
        <v>4220.1947359999995</v>
      </c>
      <c r="AO76" s="12"/>
    </row>
    <row r="77" spans="1:41" s="11" customFormat="1" ht="12.75">
      <c r="A77" s="28">
        <v>40330</v>
      </c>
      <c r="B77" s="29">
        <v>7618.554598</v>
      </c>
      <c r="C77" s="29">
        <v>7760.453379</v>
      </c>
      <c r="D77" s="29">
        <f t="shared" si="1"/>
        <v>-141.89878099999987</v>
      </c>
      <c r="AO77" s="12"/>
    </row>
    <row r="78" spans="1:41" s="11" customFormat="1" ht="12.75">
      <c r="A78" s="28">
        <v>40360</v>
      </c>
      <c r="B78" s="29">
        <v>10291.377441</v>
      </c>
      <c r="C78" s="29">
        <v>8188.54716</v>
      </c>
      <c r="D78" s="29">
        <f t="shared" si="1"/>
        <v>2102.8302810000005</v>
      </c>
      <c r="AO78" s="12"/>
    </row>
    <row r="79" spans="1:41" s="11" customFormat="1" ht="12.75">
      <c r="A79" s="28">
        <v>40391</v>
      </c>
      <c r="B79" s="29">
        <v>12417.819927</v>
      </c>
      <c r="C79" s="29">
        <v>7968.774874</v>
      </c>
      <c r="D79" s="29">
        <f t="shared" si="1"/>
        <v>4449.045053000001</v>
      </c>
      <c r="AO79" s="12"/>
    </row>
    <row r="80" spans="1:41" s="11" customFormat="1" ht="12.75">
      <c r="A80" s="28">
        <v>40422</v>
      </c>
      <c r="B80" s="29">
        <v>13490.311085</v>
      </c>
      <c r="C80" s="29">
        <v>7484.192428</v>
      </c>
      <c r="D80" s="29">
        <f t="shared" si="1"/>
        <v>6006.118656999999</v>
      </c>
      <c r="AO80" s="12"/>
    </row>
    <row r="81" spans="1:41" s="11" customFormat="1" ht="12.75">
      <c r="A81" s="28">
        <v>40452</v>
      </c>
      <c r="B81" s="29">
        <v>13043.563818</v>
      </c>
      <c r="C81" s="29">
        <v>8366.013726</v>
      </c>
      <c r="D81" s="29">
        <f t="shared" si="1"/>
        <v>4677.550092000001</v>
      </c>
      <c r="AO81" s="12"/>
    </row>
    <row r="82" spans="1:41" s="11" customFormat="1" ht="12.75">
      <c r="A82" s="28">
        <v>40483</v>
      </c>
      <c r="B82" s="29">
        <v>9901.581221</v>
      </c>
      <c r="C82" s="29">
        <v>9206.252817</v>
      </c>
      <c r="D82" s="29">
        <f t="shared" si="1"/>
        <v>695.3284039999999</v>
      </c>
      <c r="AO82" s="12"/>
    </row>
    <row r="83" spans="1:41" s="11" customFormat="1" ht="12.75">
      <c r="A83" s="28">
        <v>40513</v>
      </c>
      <c r="B83" s="29">
        <v>8331.776702</v>
      </c>
      <c r="C83" s="29">
        <v>9558.53273</v>
      </c>
      <c r="D83" s="29">
        <f t="shared" si="1"/>
        <v>-1226.7560280000016</v>
      </c>
      <c r="AO83" s="12"/>
    </row>
    <row r="84" spans="1:41" s="11" customFormat="1" ht="12.75">
      <c r="A84" s="28">
        <v>40544</v>
      </c>
      <c r="B84" s="29">
        <v>7247.606229</v>
      </c>
      <c r="C84" s="29">
        <v>7822.536327</v>
      </c>
      <c r="D84" s="29">
        <f t="shared" si="1"/>
        <v>-574.9300979999998</v>
      </c>
      <c r="AO84" s="12"/>
    </row>
    <row r="85" spans="1:41" s="11" customFormat="1" ht="12.75">
      <c r="A85" s="28">
        <v>40575</v>
      </c>
      <c r="B85" s="29">
        <v>9388.928952</v>
      </c>
      <c r="C85" s="29">
        <v>10633.219999</v>
      </c>
      <c r="D85" s="29">
        <f t="shared" si="1"/>
        <v>-1244.2910470000006</v>
      </c>
      <c r="AO85" s="12"/>
    </row>
    <row r="86" spans="1:41" s="11" customFormat="1" ht="12.75">
      <c r="A86" s="28">
        <v>40603</v>
      </c>
      <c r="B86" s="29">
        <v>8591.29149</v>
      </c>
      <c r="C86" s="29">
        <v>8864.449348</v>
      </c>
      <c r="D86" s="29">
        <f t="shared" si="1"/>
        <v>-273.1578580000005</v>
      </c>
      <c r="AO86" s="12"/>
    </row>
    <row r="87" spans="1:41" s="11" customFormat="1" ht="12.75">
      <c r="A87" s="28">
        <v>40634</v>
      </c>
      <c r="B87" s="29">
        <v>9430.519693</v>
      </c>
      <c r="C87" s="29">
        <v>14043.798924</v>
      </c>
      <c r="D87" s="29">
        <f t="shared" si="1"/>
        <v>-4613.279231</v>
      </c>
      <c r="AO87" s="12"/>
    </row>
    <row r="88" spans="1:41" s="11" customFormat="1" ht="12.75">
      <c r="A88" s="28">
        <v>40664</v>
      </c>
      <c r="B88" s="29">
        <v>14347.788015</v>
      </c>
      <c r="C88" s="29">
        <v>14226.654919</v>
      </c>
      <c r="D88" s="29">
        <f t="shared" si="1"/>
        <v>121.13309599999957</v>
      </c>
      <c r="AO88" s="12"/>
    </row>
    <row r="89" spans="1:41" s="11" customFormat="1" ht="12.75">
      <c r="A89" s="28">
        <v>40695</v>
      </c>
      <c r="B89" s="29">
        <v>8665.097227</v>
      </c>
      <c r="C89" s="29">
        <v>10911.810427</v>
      </c>
      <c r="D89" s="29">
        <f t="shared" si="1"/>
        <v>-2246.7132</v>
      </c>
      <c r="AO89" s="12"/>
    </row>
    <row r="90" spans="1:41" s="11" customFormat="1" ht="12.75">
      <c r="A90" s="28">
        <v>40725</v>
      </c>
      <c r="B90" s="29">
        <v>8001.636113</v>
      </c>
      <c r="C90" s="29">
        <v>8934.784514</v>
      </c>
      <c r="D90" s="29">
        <f t="shared" si="1"/>
        <v>-933.1484010000013</v>
      </c>
      <c r="AO90" s="12"/>
    </row>
    <row r="91" spans="1:41" s="11" customFormat="1" ht="12.75">
      <c r="A91" s="28">
        <v>40756</v>
      </c>
      <c r="B91" s="29">
        <v>8059.802707</v>
      </c>
      <c r="C91" s="29">
        <v>8691.961276</v>
      </c>
      <c r="D91" s="29">
        <f t="shared" si="1"/>
        <v>-632.1585690000002</v>
      </c>
      <c r="AO91" s="12"/>
    </row>
    <row r="92" spans="1:41" s="11" customFormat="1" ht="12.75">
      <c r="A92" s="28">
        <v>40787</v>
      </c>
      <c r="B92" s="29">
        <v>6095.079303</v>
      </c>
      <c r="C92" s="29">
        <v>6715.4901</v>
      </c>
      <c r="D92" s="29">
        <f t="shared" si="1"/>
        <v>-620.4107969999995</v>
      </c>
      <c r="AO92" s="12"/>
    </row>
    <row r="93" spans="1:41" s="11" customFormat="1" ht="12.75">
      <c r="A93" s="28">
        <v>40817</v>
      </c>
      <c r="B93" s="29">
        <v>7070.026263</v>
      </c>
      <c r="C93" s="29">
        <v>7695.393201</v>
      </c>
      <c r="D93" s="29">
        <f t="shared" si="1"/>
        <v>-625.3669380000001</v>
      </c>
      <c r="AO93" s="12"/>
    </row>
    <row r="94" spans="1:41" s="11" customFormat="1" ht="12.75">
      <c r="A94" s="28">
        <v>40848</v>
      </c>
      <c r="B94" s="29">
        <v>5872.544613</v>
      </c>
      <c r="C94" s="29">
        <v>5948.431775</v>
      </c>
      <c r="D94" s="29">
        <f t="shared" si="1"/>
        <v>-75.88716199999999</v>
      </c>
      <c r="AO94" s="12"/>
    </row>
    <row r="95" spans="1:41" s="11" customFormat="1" ht="12.75">
      <c r="A95" s="28">
        <v>40878</v>
      </c>
      <c r="B95" s="29">
        <v>13436.05697</v>
      </c>
      <c r="C95" s="29">
        <v>10841.040043</v>
      </c>
      <c r="D95" s="29">
        <f t="shared" si="1"/>
        <v>2595.0169269999988</v>
      </c>
      <c r="AO95" s="12"/>
    </row>
    <row r="96" spans="1:41" s="11" customFormat="1" ht="12.75">
      <c r="A96" s="28">
        <v>40909</v>
      </c>
      <c r="B96" s="29">
        <v>13527.898277</v>
      </c>
      <c r="C96" s="29">
        <v>8279.466132</v>
      </c>
      <c r="D96" s="29">
        <f t="shared" si="1"/>
        <v>5248.432145000001</v>
      </c>
      <c r="AO96" s="12"/>
    </row>
    <row r="97" spans="1:41" s="11" customFormat="1" ht="12.75">
      <c r="A97" s="28">
        <v>40940</v>
      </c>
      <c r="B97" s="29">
        <v>19912.239707</v>
      </c>
      <c r="C97" s="29">
        <v>17050.894839</v>
      </c>
      <c r="D97" s="29">
        <f t="shared" si="1"/>
        <v>2861.344868</v>
      </c>
      <c r="AO97" s="12"/>
    </row>
    <row r="98" spans="1:41" s="11" customFormat="1" ht="12.75">
      <c r="A98" s="28">
        <v>40969</v>
      </c>
      <c r="B98" s="29">
        <v>17987.818184</v>
      </c>
      <c r="C98" s="29">
        <v>17753.348953</v>
      </c>
      <c r="D98" s="29">
        <f t="shared" si="1"/>
        <v>234.46923099999913</v>
      </c>
      <c r="AO98" s="12"/>
    </row>
    <row r="99" spans="1:41" s="11" customFormat="1" ht="12.75">
      <c r="A99" s="28">
        <v>41000</v>
      </c>
      <c r="B99" s="29">
        <v>20554.477133</v>
      </c>
      <c r="C99" s="29">
        <v>18102.200543</v>
      </c>
      <c r="D99" s="29">
        <f t="shared" si="1"/>
        <v>2452.2765900000013</v>
      </c>
      <c r="AO99" s="12"/>
    </row>
    <row r="100" spans="1:41" s="11" customFormat="1" ht="12.75">
      <c r="A100" s="28">
        <v>41030</v>
      </c>
      <c r="B100" s="29">
        <v>16755.876893</v>
      </c>
      <c r="C100" s="29">
        <v>18623.332467</v>
      </c>
      <c r="D100" s="29">
        <f t="shared" si="1"/>
        <v>-1867.4555739999996</v>
      </c>
      <c r="AO100" s="12"/>
    </row>
    <row r="101" spans="1:41" s="11" customFormat="1" ht="12.75">
      <c r="A101" s="28">
        <v>41061</v>
      </c>
      <c r="B101" s="29">
        <v>11977.31</v>
      </c>
      <c r="C101" s="29">
        <v>12400.2</v>
      </c>
      <c r="D101" s="29">
        <f t="shared" si="1"/>
        <v>-422.89000000000124</v>
      </c>
      <c r="AO101" s="12"/>
    </row>
    <row r="102" spans="1:41" s="11" customFormat="1" ht="12.75">
      <c r="A102" s="28">
        <v>41091</v>
      </c>
      <c r="B102" s="29">
        <v>12455.005626</v>
      </c>
      <c r="C102" s="29">
        <v>14002.417752</v>
      </c>
      <c r="D102" s="29">
        <f t="shared" si="1"/>
        <v>-1547.4121259999993</v>
      </c>
      <c r="AO102" s="12"/>
    </row>
    <row r="103" spans="1:41" s="11" customFormat="1" ht="12.75">
      <c r="A103" s="28">
        <v>41122</v>
      </c>
      <c r="B103" s="29">
        <v>13621.290317</v>
      </c>
      <c r="C103" s="29">
        <v>11626.222708</v>
      </c>
      <c r="D103" s="29">
        <f t="shared" si="1"/>
        <v>1995.0676090000015</v>
      </c>
      <c r="AO103" s="12"/>
    </row>
    <row r="104" spans="1:41" s="11" customFormat="1" ht="12.75">
      <c r="A104" s="28">
        <v>41153</v>
      </c>
      <c r="B104" s="29">
        <v>15426.66604</v>
      </c>
      <c r="C104" s="29">
        <v>15391.197306</v>
      </c>
      <c r="D104" s="29">
        <f t="shared" si="1"/>
        <v>35.46873400000004</v>
      </c>
      <c r="AO104" s="12"/>
    </row>
    <row r="105" spans="1:41" s="11" customFormat="1" ht="12.75">
      <c r="A105" s="28">
        <v>41183</v>
      </c>
      <c r="B105" s="29">
        <v>21168.481339</v>
      </c>
      <c r="C105" s="29">
        <v>13960.611224</v>
      </c>
      <c r="D105" s="29">
        <f t="shared" si="1"/>
        <v>7207.8701150000015</v>
      </c>
      <c r="AO105" s="12"/>
    </row>
    <row r="106" spans="1:41" s="11" customFormat="1" ht="12.75">
      <c r="A106" s="28">
        <v>41214</v>
      </c>
      <c r="B106" s="29">
        <v>12756.42</v>
      </c>
      <c r="C106" s="29">
        <v>11299.56</v>
      </c>
      <c r="D106" s="29">
        <f t="shared" si="1"/>
        <v>1456.8600000000006</v>
      </c>
      <c r="AO106" s="12"/>
    </row>
    <row r="107" spans="1:41" s="11" customFormat="1" ht="12.75">
      <c r="A107" s="28">
        <v>41244</v>
      </c>
      <c r="B107" s="29">
        <v>16580.614393</v>
      </c>
      <c r="C107" s="29">
        <v>14488.214051</v>
      </c>
      <c r="D107" s="29">
        <f t="shared" si="1"/>
        <v>2092.400341999999</v>
      </c>
      <c r="AO107" s="12"/>
    </row>
    <row r="108" spans="1:41" s="11" customFormat="1" ht="12.75">
      <c r="A108" s="28">
        <v>41275</v>
      </c>
      <c r="B108" s="29">
        <v>13104.45</v>
      </c>
      <c r="C108" s="29">
        <v>13076.46</v>
      </c>
      <c r="D108" s="29">
        <f t="shared" si="1"/>
        <v>27.9900000000016</v>
      </c>
      <c r="AO108" s="12"/>
    </row>
    <row r="109" spans="1:41" s="11" customFormat="1" ht="12.75">
      <c r="A109" s="28">
        <v>41306</v>
      </c>
      <c r="B109" s="29">
        <v>17930.34</v>
      </c>
      <c r="C109" s="29">
        <v>14348.25</v>
      </c>
      <c r="D109" s="29">
        <f t="shared" si="1"/>
        <v>3582.09</v>
      </c>
      <c r="AO109" s="12"/>
    </row>
    <row r="110" spans="1:41" s="11" customFormat="1" ht="12.75">
      <c r="A110" s="28">
        <v>41334</v>
      </c>
      <c r="B110" s="29">
        <v>22797.96</v>
      </c>
      <c r="C110" s="29">
        <v>18165.25</v>
      </c>
      <c r="D110" s="29">
        <f t="shared" si="1"/>
        <v>4632.709999999999</v>
      </c>
      <c r="AO110" s="12"/>
    </row>
    <row r="111" spans="1:41" s="11" customFormat="1" ht="12.75">
      <c r="A111" s="28">
        <v>41365</v>
      </c>
      <c r="B111" s="29">
        <v>20822.04</v>
      </c>
      <c r="C111" s="29">
        <v>17223.42</v>
      </c>
      <c r="D111" s="29">
        <f t="shared" si="1"/>
        <v>3598.6200000000026</v>
      </c>
      <c r="AO111" s="12"/>
    </row>
    <row r="112" spans="1:41" s="11" customFormat="1" ht="12.75">
      <c r="A112" s="28">
        <v>41395</v>
      </c>
      <c r="B112" s="29">
        <v>20196.99</v>
      </c>
      <c r="C112" s="29">
        <v>17020.53</v>
      </c>
      <c r="D112" s="29">
        <f aca="true" t="shared" si="2" ref="D112:D149">B112-C112</f>
        <v>3176.4600000000028</v>
      </c>
      <c r="AO112" s="12"/>
    </row>
    <row r="113" spans="1:41" s="11" customFormat="1" ht="12.75">
      <c r="A113" s="28">
        <v>41426</v>
      </c>
      <c r="B113" s="29">
        <v>58800.68</v>
      </c>
      <c r="C113" s="29">
        <v>58658.39</v>
      </c>
      <c r="D113" s="29">
        <f t="shared" si="2"/>
        <v>142.29000000000087</v>
      </c>
      <c r="AO113" s="12"/>
    </row>
    <row r="114" spans="1:41" s="11" customFormat="1" ht="12.75">
      <c r="A114" s="28">
        <v>41456</v>
      </c>
      <c r="B114" s="29">
        <v>27708.56</v>
      </c>
      <c r="C114" s="29">
        <v>22692.44</v>
      </c>
      <c r="D114" s="29">
        <f t="shared" si="2"/>
        <v>5016.120000000003</v>
      </c>
      <c r="AO114" s="12"/>
    </row>
    <row r="115" spans="1:41" s="11" customFormat="1" ht="12.75">
      <c r="A115" s="28">
        <v>41487</v>
      </c>
      <c r="B115" s="29">
        <v>25725.88</v>
      </c>
      <c r="C115" s="29">
        <v>21139.7</v>
      </c>
      <c r="D115" s="29">
        <f t="shared" si="2"/>
        <v>4586.18</v>
      </c>
      <c r="AO115" s="12"/>
    </row>
    <row r="116" spans="1:41" s="11" customFormat="1" ht="12.75">
      <c r="A116" s="28">
        <v>41518</v>
      </c>
      <c r="B116" s="29">
        <v>34429.566789</v>
      </c>
      <c r="C116" s="29">
        <v>23450.868553</v>
      </c>
      <c r="D116" s="29">
        <f t="shared" si="2"/>
        <v>10978.698235999997</v>
      </c>
      <c r="AO116" s="12"/>
    </row>
    <row r="117" spans="1:41" s="11" customFormat="1" ht="12.75">
      <c r="A117" s="28">
        <v>41548</v>
      </c>
      <c r="B117" s="29">
        <v>25910.57</v>
      </c>
      <c r="C117" s="29">
        <v>24658.1</v>
      </c>
      <c r="D117" s="29">
        <f t="shared" si="2"/>
        <v>1252.4700000000012</v>
      </c>
      <c r="AO117" s="12"/>
    </row>
    <row r="118" spans="1:41" s="11" customFormat="1" ht="12.75">
      <c r="A118" s="28">
        <v>41579</v>
      </c>
      <c r="B118" s="29">
        <v>21556.76</v>
      </c>
      <c r="C118" s="29">
        <v>25738.14</v>
      </c>
      <c r="D118" s="29">
        <f t="shared" si="2"/>
        <v>-4181.380000000001</v>
      </c>
      <c r="AO118" s="12"/>
    </row>
    <row r="119" spans="1:41" s="11" customFormat="1" ht="12.75">
      <c r="A119" s="28">
        <v>41609</v>
      </c>
      <c r="B119" s="29">
        <v>25230.394519</v>
      </c>
      <c r="C119" s="29">
        <v>23464.563479</v>
      </c>
      <c r="D119" s="29">
        <f t="shared" si="2"/>
        <v>1765.831040000001</v>
      </c>
      <c r="AO119" s="12"/>
    </row>
    <row r="120" spans="1:41" s="11" customFormat="1" ht="12.75">
      <c r="A120" s="28">
        <v>41640</v>
      </c>
      <c r="B120" s="29">
        <v>30674.095572</v>
      </c>
      <c r="C120" s="29">
        <v>27444.309568</v>
      </c>
      <c r="D120" s="29">
        <f t="shared" si="2"/>
        <v>3229.786003999998</v>
      </c>
      <c r="AO120" s="12"/>
    </row>
    <row r="121" spans="1:41" s="11" customFormat="1" ht="12.75">
      <c r="A121" s="28">
        <v>41671</v>
      </c>
      <c r="B121" s="29">
        <v>26093.86175</v>
      </c>
      <c r="C121" s="29">
        <v>22284.612149</v>
      </c>
      <c r="D121" s="29">
        <f t="shared" si="2"/>
        <v>3809.2496009999995</v>
      </c>
      <c r="AO121" s="12"/>
    </row>
    <row r="122" spans="1:41" s="11" customFormat="1" ht="12.75">
      <c r="A122" s="28">
        <v>41699</v>
      </c>
      <c r="B122" s="29">
        <v>30430.649129</v>
      </c>
      <c r="C122" s="29">
        <v>18793.077213</v>
      </c>
      <c r="D122" s="29">
        <f t="shared" si="2"/>
        <v>11637.571916</v>
      </c>
      <c r="AO122" s="12"/>
    </row>
    <row r="123" spans="1:41" s="11" customFormat="1" ht="12.75">
      <c r="A123" s="28">
        <v>41730</v>
      </c>
      <c r="B123" s="29">
        <v>33827.072315</v>
      </c>
      <c r="C123" s="29">
        <v>31189.806263</v>
      </c>
      <c r="D123" s="29">
        <f t="shared" si="2"/>
        <v>2637.266051999999</v>
      </c>
      <c r="AO123" s="12"/>
    </row>
    <row r="124" spans="1:41" s="11" customFormat="1" ht="12.75">
      <c r="A124" s="28">
        <v>41760</v>
      </c>
      <c r="B124" s="29">
        <v>32437.175626</v>
      </c>
      <c r="C124" s="29">
        <v>28035.563007</v>
      </c>
      <c r="D124" s="29">
        <f t="shared" si="2"/>
        <v>4401.6126189999995</v>
      </c>
      <c r="AO124" s="12"/>
    </row>
    <row r="125" spans="1:41" s="11" customFormat="1" ht="12.75">
      <c r="A125" s="28">
        <v>41791</v>
      </c>
      <c r="B125" s="29">
        <v>34349.59073</v>
      </c>
      <c r="C125" s="29">
        <v>27249.494881</v>
      </c>
      <c r="D125" s="29">
        <f t="shared" si="2"/>
        <v>7100.095849000005</v>
      </c>
      <c r="AO125" s="12"/>
    </row>
    <row r="126" spans="1:41" s="11" customFormat="1" ht="12.75">
      <c r="A126" s="28">
        <v>41821</v>
      </c>
      <c r="B126" s="29">
        <v>34669.113373</v>
      </c>
      <c r="C126" s="29">
        <v>30691.985093</v>
      </c>
      <c r="D126" s="29">
        <f t="shared" si="2"/>
        <v>3977.128280000001</v>
      </c>
      <c r="AO126" s="12"/>
    </row>
    <row r="127" spans="1:41" s="11" customFormat="1" ht="12.75">
      <c r="A127" s="28">
        <v>41852</v>
      </c>
      <c r="B127" s="29">
        <v>30047.54211</v>
      </c>
      <c r="C127" s="29">
        <v>23751.899526</v>
      </c>
      <c r="D127" s="29">
        <f t="shared" si="2"/>
        <v>6295.642583999997</v>
      </c>
      <c r="AO127" s="12"/>
    </row>
    <row r="128" spans="1:41" s="11" customFormat="1" ht="12.75">
      <c r="A128" s="28">
        <v>41883</v>
      </c>
      <c r="B128" s="29">
        <v>41361.001974</v>
      </c>
      <c r="C128" s="29">
        <v>34513.247077</v>
      </c>
      <c r="D128" s="29">
        <f t="shared" si="2"/>
        <v>6847.754896999999</v>
      </c>
      <c r="AO128" s="12"/>
    </row>
    <row r="129" spans="1:41" s="11" customFormat="1" ht="12.75">
      <c r="A129" s="28">
        <v>41913</v>
      </c>
      <c r="B129" s="29">
        <v>50100.884121</v>
      </c>
      <c r="C129" s="29">
        <v>40126.578379</v>
      </c>
      <c r="D129" s="29">
        <f t="shared" si="2"/>
        <v>9974.305742000004</v>
      </c>
      <c r="AO129" s="12"/>
    </row>
    <row r="130" spans="1:41" s="11" customFormat="1" ht="12.75">
      <c r="A130" s="28">
        <v>41944</v>
      </c>
      <c r="B130" s="29">
        <v>26554.073935</v>
      </c>
      <c r="C130" s="29">
        <v>28783.555926</v>
      </c>
      <c r="D130" s="29">
        <f t="shared" si="2"/>
        <v>-2229.4819910000006</v>
      </c>
      <c r="AO130" s="12"/>
    </row>
    <row r="131" spans="1:41" s="11" customFormat="1" ht="12.75">
      <c r="A131" s="28">
        <v>41974</v>
      </c>
      <c r="B131" s="29">
        <v>27060.741693</v>
      </c>
      <c r="C131" s="29">
        <v>38016.549216</v>
      </c>
      <c r="D131" s="29">
        <f t="shared" si="2"/>
        <v>-10955.807523</v>
      </c>
      <c r="AO131" s="12"/>
    </row>
    <row r="132" spans="1:41" s="11" customFormat="1" ht="12.75">
      <c r="A132" s="28">
        <v>42005</v>
      </c>
      <c r="B132" s="29">
        <v>27338.93672463659</v>
      </c>
      <c r="C132" s="29">
        <v>17183.714502122224</v>
      </c>
      <c r="D132" s="29">
        <f t="shared" si="2"/>
        <v>10155.222222514367</v>
      </c>
      <c r="AO132" s="12"/>
    </row>
    <row r="133" spans="1:41" s="11" customFormat="1" ht="12.75">
      <c r="A133" s="28">
        <v>42036</v>
      </c>
      <c r="B133" s="29">
        <v>17773.876248697103</v>
      </c>
      <c r="C133" s="29">
        <v>14633.974262386213</v>
      </c>
      <c r="D133" s="29">
        <f t="shared" si="2"/>
        <v>3139.9019863108897</v>
      </c>
      <c r="AO133" s="12"/>
    </row>
    <row r="134" spans="1:41" s="11" customFormat="1" ht="12.75">
      <c r="A134" s="28">
        <v>42064</v>
      </c>
      <c r="B134" s="29">
        <v>23004.667739401495</v>
      </c>
      <c r="C134" s="29">
        <v>20375.047057044885</v>
      </c>
      <c r="D134" s="29">
        <f t="shared" si="2"/>
        <v>2629.62068235661</v>
      </c>
      <c r="AO134" s="12"/>
    </row>
    <row r="135" spans="1:41" s="11" customFormat="1" ht="12.75">
      <c r="A135" s="28">
        <v>42095</v>
      </c>
      <c r="B135" s="29">
        <v>23863.576540285943</v>
      </c>
      <c r="C135" s="29">
        <v>14662.03956473811</v>
      </c>
      <c r="D135" s="29">
        <f t="shared" si="2"/>
        <v>9201.536975547833</v>
      </c>
      <c r="AO135" s="12"/>
    </row>
    <row r="136" spans="1:41" s="11" customFormat="1" ht="12.75">
      <c r="A136" s="28">
        <v>42125</v>
      </c>
      <c r="B136" s="29">
        <v>31148.4626683025</v>
      </c>
      <c r="C136" s="29">
        <v>23555.067800427838</v>
      </c>
      <c r="D136" s="29">
        <f t="shared" si="2"/>
        <v>7593.394867874664</v>
      </c>
      <c r="AO136" s="12"/>
    </row>
    <row r="137" spans="1:41" s="11" customFormat="1" ht="12.75">
      <c r="A137" s="28">
        <v>42156</v>
      </c>
      <c r="B137" s="29">
        <v>24734.386100367436</v>
      </c>
      <c r="C137" s="29">
        <v>22983.90589118804</v>
      </c>
      <c r="D137" s="29">
        <f t="shared" si="2"/>
        <v>1750.4802091793972</v>
      </c>
      <c r="AO137" s="12"/>
    </row>
    <row r="138" spans="1:41" s="11" customFormat="1" ht="12.75">
      <c r="A138" s="28">
        <v>42186</v>
      </c>
      <c r="B138" s="29">
        <v>15136.987923394225</v>
      </c>
      <c r="C138" s="29">
        <v>21145.23147436653</v>
      </c>
      <c r="D138" s="29">
        <f t="shared" si="2"/>
        <v>-6008.2435509723055</v>
      </c>
      <c r="AO138" s="12"/>
    </row>
    <row r="139" spans="1:41" s="11" customFormat="1" ht="12.75">
      <c r="A139" s="28">
        <v>42217</v>
      </c>
      <c r="B139" s="29">
        <v>16938.420042229962</v>
      </c>
      <c r="C139" s="29">
        <v>17687.064832588367</v>
      </c>
      <c r="D139" s="29">
        <f t="shared" si="2"/>
        <v>-748.6447903584049</v>
      </c>
      <c r="AO139" s="12"/>
    </row>
    <row r="140" spans="1:41" s="11" customFormat="1" ht="12.75">
      <c r="A140" s="28">
        <v>42248</v>
      </c>
      <c r="B140" s="29">
        <v>13208.33902086637</v>
      </c>
      <c r="C140" s="29">
        <v>17832.149543154872</v>
      </c>
      <c r="D140" s="29">
        <f t="shared" si="2"/>
        <v>-4623.810522288502</v>
      </c>
      <c r="AO140" s="12"/>
    </row>
    <row r="141" spans="1:41" s="11" customFormat="1" ht="12.75">
      <c r="A141" s="28">
        <v>42278</v>
      </c>
      <c r="B141" s="29">
        <v>16534.596118842157</v>
      </c>
      <c r="C141" s="29">
        <v>18091.572285366296</v>
      </c>
      <c r="D141" s="29">
        <f t="shared" si="2"/>
        <v>-1556.9761665241385</v>
      </c>
      <c r="AO141" s="12"/>
    </row>
    <row r="142" spans="1:41" s="11" customFormat="1" ht="12.75">
      <c r="A142" s="28">
        <v>42309</v>
      </c>
      <c r="B142" s="29">
        <v>18031.68088973147</v>
      </c>
      <c r="C142" s="29">
        <v>11925.012320936998</v>
      </c>
      <c r="D142" s="29">
        <f t="shared" si="2"/>
        <v>6106.668568794472</v>
      </c>
      <c r="AO142" s="12"/>
    </row>
    <row r="143" spans="1:41" s="11" customFormat="1" ht="12.75">
      <c r="A143" s="28">
        <v>42339</v>
      </c>
      <c r="B143" s="29">
        <v>15066.426735044048</v>
      </c>
      <c r="C143" s="29">
        <v>17182.97084741856</v>
      </c>
      <c r="D143" s="29">
        <f t="shared" si="2"/>
        <v>-2116.544112374513</v>
      </c>
      <c r="AO143" s="12"/>
    </row>
    <row r="144" spans="1:41" s="11" customFormat="1" ht="12.75">
      <c r="A144" s="28">
        <v>42370</v>
      </c>
      <c r="B144" s="29">
        <v>9331.077591026022</v>
      </c>
      <c r="C144" s="29">
        <v>13242.082088404077</v>
      </c>
      <c r="D144" s="29">
        <f t="shared" si="2"/>
        <v>-3911.004497378055</v>
      </c>
      <c r="AO144" s="12"/>
    </row>
    <row r="145" spans="1:41" s="11" customFormat="1" ht="12.75">
      <c r="A145" s="28">
        <v>42401</v>
      </c>
      <c r="B145" s="29">
        <v>9511.775673434515</v>
      </c>
      <c r="C145" s="29">
        <v>12563.355063071665</v>
      </c>
      <c r="D145" s="29">
        <f t="shared" si="2"/>
        <v>-3051.5793896371506</v>
      </c>
      <c r="AO145" s="12"/>
    </row>
    <row r="146" spans="1:41" s="11" customFormat="1" ht="12.75">
      <c r="A146" s="28">
        <v>42430</v>
      </c>
      <c r="B146" s="29">
        <v>25429.72</v>
      </c>
      <c r="C146" s="29">
        <v>25627.3</v>
      </c>
      <c r="D146" s="29">
        <f t="shared" si="2"/>
        <v>-197.5799999999981</v>
      </c>
      <c r="AO146" s="12"/>
    </row>
    <row r="147" spans="1:41" s="11" customFormat="1" ht="12.75">
      <c r="A147" s="28">
        <v>42461</v>
      </c>
      <c r="B147" s="29">
        <v>17943.24558189405</v>
      </c>
      <c r="C147" s="29">
        <v>14739.840546250145</v>
      </c>
      <c r="D147" s="29">
        <f t="shared" si="2"/>
        <v>3203.4050356439056</v>
      </c>
      <c r="AO147" s="12"/>
    </row>
    <row r="148" spans="1:4" ht="12.75">
      <c r="A148" s="28">
        <v>42491</v>
      </c>
      <c r="B148" s="29">
        <v>12025.011785763958</v>
      </c>
      <c r="C148" s="29">
        <v>16499.493116742233</v>
      </c>
      <c r="D148" s="29">
        <f t="shared" si="2"/>
        <v>-4474.481330978275</v>
      </c>
    </row>
    <row r="149" spans="1:4" ht="12.75">
      <c r="A149" s="28">
        <v>42522</v>
      </c>
      <c r="B149" s="29">
        <v>19417.14488472802</v>
      </c>
      <c r="C149" s="29">
        <v>14878.833348495233</v>
      </c>
      <c r="D149" s="29">
        <f t="shared" si="2"/>
        <v>4538.311536232786</v>
      </c>
    </row>
  </sheetData>
  <sheetProtection/>
  <conditionalFormatting sqref="A12:A149">
    <cfRule type="cellIs" priority="16353" dxfId="0" operator="greaterThan" stopIfTrue="1">
      <formula>"hoje()"</formula>
    </cfRule>
  </conditionalFormatting>
  <conditionalFormatting sqref="A128">
    <cfRule type="cellIs" priority="802" dxfId="0" operator="greaterThan" stopIfTrue="1">
      <formula>"hoje()"</formula>
    </cfRule>
  </conditionalFormatting>
  <conditionalFormatting sqref="A129">
    <cfRule type="cellIs" priority="801" dxfId="0" operator="greaterThan" stopIfTrue="1">
      <formula>"hoje()"</formula>
    </cfRule>
  </conditionalFormatting>
  <conditionalFormatting sqref="A129">
    <cfRule type="cellIs" priority="800" dxfId="0" operator="greaterThan" stopIfTrue="1">
      <formula>"hoje()"</formula>
    </cfRule>
  </conditionalFormatting>
  <conditionalFormatting sqref="A130">
    <cfRule type="cellIs" priority="799" dxfId="0" operator="greaterThan" stopIfTrue="1">
      <formula>"hoje()"</formula>
    </cfRule>
  </conditionalFormatting>
  <conditionalFormatting sqref="A130">
    <cfRule type="cellIs" priority="798" dxfId="0" operator="greaterThan" stopIfTrue="1">
      <formula>"hoje()"</formula>
    </cfRule>
  </conditionalFormatting>
  <conditionalFormatting sqref="A130">
    <cfRule type="cellIs" priority="797" dxfId="0" operator="greaterThan" stopIfTrue="1">
      <formula>"hoje()"</formula>
    </cfRule>
  </conditionalFormatting>
  <conditionalFormatting sqref="A131">
    <cfRule type="cellIs" priority="796" dxfId="0" operator="greaterThan" stopIfTrue="1">
      <formula>"hoje()"</formula>
    </cfRule>
  </conditionalFormatting>
  <conditionalFormatting sqref="A131">
    <cfRule type="cellIs" priority="795" dxfId="0" operator="greaterThan" stopIfTrue="1">
      <formula>"hoje()"</formula>
    </cfRule>
  </conditionalFormatting>
  <conditionalFormatting sqref="A131">
    <cfRule type="cellIs" priority="794" dxfId="0" operator="greaterThan" stopIfTrue="1">
      <formula>"hoje()"</formula>
    </cfRule>
  </conditionalFormatting>
  <conditionalFormatting sqref="A131">
    <cfRule type="cellIs" priority="793" dxfId="0" operator="greaterThan" stopIfTrue="1">
      <formula>"hoje()"</formula>
    </cfRule>
  </conditionalFormatting>
  <conditionalFormatting sqref="A132 A134:A142 A144:A149">
    <cfRule type="cellIs" priority="792" dxfId="0" operator="greaterThan" stopIfTrue="1">
      <formula>"hoje()"</formula>
    </cfRule>
  </conditionalFormatting>
  <conditionalFormatting sqref="A132 A134:A142 A144:A149">
    <cfRule type="cellIs" priority="791" dxfId="0" operator="greaterThan" stopIfTrue="1">
      <formula>"hoje()"</formula>
    </cfRule>
  </conditionalFormatting>
  <conditionalFormatting sqref="A132 A134:A142 A144:A149">
    <cfRule type="cellIs" priority="790" dxfId="0" operator="greaterThan" stopIfTrue="1">
      <formula>"hoje()"</formula>
    </cfRule>
  </conditionalFormatting>
  <conditionalFormatting sqref="A132 A134:A142 A144:A149">
    <cfRule type="cellIs" priority="789" dxfId="0" operator="greaterThan" stopIfTrue="1">
      <formula>"hoje()"</formula>
    </cfRule>
  </conditionalFormatting>
  <conditionalFormatting sqref="A132 A134:A142 A144:A149">
    <cfRule type="cellIs" priority="788" dxfId="0" operator="greaterThan" stopIfTrue="1">
      <formula>"hoje()"</formula>
    </cfRule>
  </conditionalFormatting>
  <conditionalFormatting sqref="A133 A143">
    <cfRule type="cellIs" priority="787" dxfId="0" operator="greaterThan" stopIfTrue="1">
      <formula>"hoje()"</formula>
    </cfRule>
  </conditionalFormatting>
  <conditionalFormatting sqref="A133 A143">
    <cfRule type="cellIs" priority="786" dxfId="0" operator="greaterThan" stopIfTrue="1">
      <formula>"hoje()"</formula>
    </cfRule>
  </conditionalFormatting>
  <conditionalFormatting sqref="A133 A143">
    <cfRule type="cellIs" priority="785" dxfId="0" operator="greaterThan" stopIfTrue="1">
      <formula>"hoje()"</formula>
    </cfRule>
  </conditionalFormatting>
  <conditionalFormatting sqref="A133 A143">
    <cfRule type="cellIs" priority="784" dxfId="0" operator="greaterThan" stopIfTrue="1">
      <formula>"hoje()"</formula>
    </cfRule>
  </conditionalFormatting>
  <conditionalFormatting sqref="A133 A143">
    <cfRule type="cellIs" priority="783" dxfId="0" operator="greaterThan" stopIfTrue="1">
      <formula>"hoje()"</formula>
    </cfRule>
  </conditionalFormatting>
  <conditionalFormatting sqref="A133 A143">
    <cfRule type="cellIs" priority="782" dxfId="0" operator="greaterThan" stopIfTrue="1">
      <formula>"hoje()"</formula>
    </cfRule>
  </conditionalFormatting>
  <conditionalFormatting sqref="A134">
    <cfRule type="cellIs" priority="781" dxfId="0" operator="greaterThan" stopIfTrue="1">
      <formula>"hoje()"</formula>
    </cfRule>
  </conditionalFormatting>
  <conditionalFormatting sqref="A134">
    <cfRule type="cellIs" priority="780" dxfId="0" operator="greaterThan" stopIfTrue="1">
      <formula>"hoje()"</formula>
    </cfRule>
  </conditionalFormatting>
  <conditionalFormatting sqref="A134">
    <cfRule type="cellIs" priority="779" dxfId="0" operator="greaterThan" stopIfTrue="1">
      <formula>"hoje()"</formula>
    </cfRule>
  </conditionalFormatting>
  <conditionalFormatting sqref="A134">
    <cfRule type="cellIs" priority="778" dxfId="0" operator="greaterThan" stopIfTrue="1">
      <formula>"hoje()"</formula>
    </cfRule>
  </conditionalFormatting>
  <conditionalFormatting sqref="A134">
    <cfRule type="cellIs" priority="777" dxfId="0" operator="greaterThan" stopIfTrue="1">
      <formula>"hoje()"</formula>
    </cfRule>
  </conditionalFormatting>
  <conditionalFormatting sqref="A134">
    <cfRule type="cellIs" priority="776" dxfId="0" operator="greaterThan" stopIfTrue="1">
      <formula>"hoje()"</formula>
    </cfRule>
  </conditionalFormatting>
  <conditionalFormatting sqref="A134">
    <cfRule type="cellIs" priority="775" dxfId="0" operator="greaterThan" stopIfTrue="1">
      <formula>"hoje()"</formula>
    </cfRule>
  </conditionalFormatting>
  <conditionalFormatting sqref="A135">
    <cfRule type="cellIs" priority="774" dxfId="0" operator="greaterThan" stopIfTrue="1">
      <formula>"hoje()"</formula>
    </cfRule>
  </conditionalFormatting>
  <conditionalFormatting sqref="A135">
    <cfRule type="cellIs" priority="773" dxfId="0" operator="greaterThan" stopIfTrue="1">
      <formula>"hoje()"</formula>
    </cfRule>
  </conditionalFormatting>
  <conditionalFormatting sqref="A135">
    <cfRule type="cellIs" priority="772" dxfId="0" operator="greaterThan" stopIfTrue="1">
      <formula>"hoje()"</formula>
    </cfRule>
  </conditionalFormatting>
  <conditionalFormatting sqref="A135">
    <cfRule type="cellIs" priority="771" dxfId="0" operator="greaterThan" stopIfTrue="1">
      <formula>"hoje()"</formula>
    </cfRule>
  </conditionalFormatting>
  <conditionalFormatting sqref="A135">
    <cfRule type="cellIs" priority="770" dxfId="0" operator="greaterThan" stopIfTrue="1">
      <formula>"hoje()"</formula>
    </cfRule>
  </conditionalFormatting>
  <conditionalFormatting sqref="A135">
    <cfRule type="cellIs" priority="769" dxfId="0" operator="greaterThan" stopIfTrue="1">
      <formula>"hoje()"</formula>
    </cfRule>
  </conditionalFormatting>
  <conditionalFormatting sqref="A135">
    <cfRule type="cellIs" priority="768" dxfId="0" operator="greaterThan" stopIfTrue="1">
      <formula>"hoje()"</formula>
    </cfRule>
  </conditionalFormatting>
  <conditionalFormatting sqref="A135">
    <cfRule type="cellIs" priority="767" dxfId="0" operator="greaterThan" stopIfTrue="1">
      <formula>"hoje()"</formula>
    </cfRule>
  </conditionalFormatting>
  <conditionalFormatting sqref="A135">
    <cfRule type="cellIs" priority="766" dxfId="0" operator="greaterThan" stopIfTrue="1">
      <formula>"hoje()"</formula>
    </cfRule>
  </conditionalFormatting>
  <conditionalFormatting sqref="A135">
    <cfRule type="cellIs" priority="765" dxfId="0" operator="greaterThan" stopIfTrue="1">
      <formula>"hoje()"</formula>
    </cfRule>
  </conditionalFormatting>
  <conditionalFormatting sqref="A135">
    <cfRule type="cellIs" priority="764" dxfId="0" operator="greaterThan" stopIfTrue="1">
      <formula>"hoje()"</formula>
    </cfRule>
  </conditionalFormatting>
  <conditionalFormatting sqref="A135">
    <cfRule type="cellIs" priority="763" dxfId="0" operator="greaterThan" stopIfTrue="1">
      <formula>"hoje()"</formula>
    </cfRule>
  </conditionalFormatting>
  <conditionalFormatting sqref="A135">
    <cfRule type="cellIs" priority="762" dxfId="0" operator="greaterThan" stopIfTrue="1">
      <formula>"hoje()"</formula>
    </cfRule>
  </conditionalFormatting>
  <conditionalFormatting sqref="A136">
    <cfRule type="cellIs" priority="761" dxfId="0" operator="greaterThan" stopIfTrue="1">
      <formula>"hoje()"</formula>
    </cfRule>
  </conditionalFormatting>
  <conditionalFormatting sqref="A136">
    <cfRule type="cellIs" priority="760" dxfId="0" operator="greaterThan" stopIfTrue="1">
      <formula>"hoje()"</formula>
    </cfRule>
  </conditionalFormatting>
  <conditionalFormatting sqref="A136">
    <cfRule type="cellIs" priority="759" dxfId="0" operator="greaterThan" stopIfTrue="1">
      <formula>"hoje()"</formula>
    </cfRule>
  </conditionalFormatting>
  <conditionalFormatting sqref="A136">
    <cfRule type="cellIs" priority="758" dxfId="0" operator="greaterThan" stopIfTrue="1">
      <formula>"hoje()"</formula>
    </cfRule>
  </conditionalFormatting>
  <conditionalFormatting sqref="A136">
    <cfRule type="cellIs" priority="757" dxfId="0" operator="greaterThan" stopIfTrue="1">
      <formula>"hoje()"</formula>
    </cfRule>
  </conditionalFormatting>
  <conditionalFormatting sqref="A136">
    <cfRule type="cellIs" priority="756" dxfId="0" operator="greaterThan" stopIfTrue="1">
      <formula>"hoje()"</formula>
    </cfRule>
  </conditionalFormatting>
  <conditionalFormatting sqref="A136">
    <cfRule type="cellIs" priority="755" dxfId="0" operator="greaterThan" stopIfTrue="1">
      <formula>"hoje()"</formula>
    </cfRule>
  </conditionalFormatting>
  <conditionalFormatting sqref="A136">
    <cfRule type="cellIs" priority="754" dxfId="0" operator="greaterThan" stopIfTrue="1">
      <formula>"hoje()"</formula>
    </cfRule>
  </conditionalFormatting>
  <conditionalFormatting sqref="A136">
    <cfRule type="cellIs" priority="753" dxfId="0" operator="greaterThan" stopIfTrue="1">
      <formula>"hoje()"</formula>
    </cfRule>
  </conditionalFormatting>
  <conditionalFormatting sqref="A136">
    <cfRule type="cellIs" priority="752" dxfId="0" operator="greaterThan" stopIfTrue="1">
      <formula>"hoje()"</formula>
    </cfRule>
  </conditionalFormatting>
  <conditionalFormatting sqref="A136">
    <cfRule type="cellIs" priority="751" dxfId="0" operator="greaterThan" stopIfTrue="1">
      <formula>"hoje()"</formula>
    </cfRule>
  </conditionalFormatting>
  <conditionalFormatting sqref="A136">
    <cfRule type="cellIs" priority="750" dxfId="0" operator="greaterThan" stopIfTrue="1">
      <formula>"hoje()"</formula>
    </cfRule>
  </conditionalFormatting>
  <conditionalFormatting sqref="A136">
    <cfRule type="cellIs" priority="749" dxfId="0" operator="greaterThan" stopIfTrue="1">
      <formula>"hoje()"</formula>
    </cfRule>
  </conditionalFormatting>
  <conditionalFormatting sqref="A136">
    <cfRule type="cellIs" priority="748" dxfId="0" operator="greaterThan" stopIfTrue="1">
      <formula>"hoje()"</formula>
    </cfRule>
  </conditionalFormatting>
  <conditionalFormatting sqref="A136">
    <cfRule type="cellIs" priority="747" dxfId="0" operator="greaterThan" stopIfTrue="1">
      <formula>"hoje()"</formula>
    </cfRule>
  </conditionalFormatting>
  <conditionalFormatting sqref="A136">
    <cfRule type="cellIs" priority="746" dxfId="0" operator="greaterThan" stopIfTrue="1">
      <formula>"hoje()"</formula>
    </cfRule>
  </conditionalFormatting>
  <conditionalFormatting sqref="A136">
    <cfRule type="cellIs" priority="745" dxfId="0" operator="greaterThan" stopIfTrue="1">
      <formula>"hoje()"</formula>
    </cfRule>
  </conditionalFormatting>
  <conditionalFormatting sqref="A136">
    <cfRule type="cellIs" priority="744" dxfId="0" operator="greaterThan" stopIfTrue="1">
      <formula>"hoje()"</formula>
    </cfRule>
  </conditionalFormatting>
  <conditionalFormatting sqref="A136">
    <cfRule type="cellIs" priority="743" dxfId="0" operator="greaterThan" stopIfTrue="1">
      <formula>"hoje()"</formula>
    </cfRule>
  </conditionalFormatting>
  <conditionalFormatting sqref="A137">
    <cfRule type="cellIs" priority="742" dxfId="0" operator="greaterThan" stopIfTrue="1">
      <formula>"hoje()"</formula>
    </cfRule>
  </conditionalFormatting>
  <conditionalFormatting sqref="A137">
    <cfRule type="cellIs" priority="741" dxfId="0" operator="greaterThan" stopIfTrue="1">
      <formula>"hoje()"</formula>
    </cfRule>
  </conditionalFormatting>
  <conditionalFormatting sqref="A137">
    <cfRule type="cellIs" priority="740" dxfId="0" operator="greaterThan" stopIfTrue="1">
      <formula>"hoje()"</formula>
    </cfRule>
  </conditionalFormatting>
  <conditionalFormatting sqref="A137">
    <cfRule type="cellIs" priority="739" dxfId="0" operator="greaterThan" stopIfTrue="1">
      <formula>"hoje()"</formula>
    </cfRule>
  </conditionalFormatting>
  <conditionalFormatting sqref="A137">
    <cfRule type="cellIs" priority="738" dxfId="0" operator="greaterThan" stopIfTrue="1">
      <formula>"hoje()"</formula>
    </cfRule>
  </conditionalFormatting>
  <conditionalFormatting sqref="A137">
    <cfRule type="cellIs" priority="737" dxfId="0" operator="greaterThan" stopIfTrue="1">
      <formula>"hoje()"</formula>
    </cfRule>
  </conditionalFormatting>
  <conditionalFormatting sqref="A137">
    <cfRule type="cellIs" priority="736" dxfId="0" operator="greaterThan" stopIfTrue="1">
      <formula>"hoje()"</formula>
    </cfRule>
  </conditionalFormatting>
  <conditionalFormatting sqref="A137">
    <cfRule type="cellIs" priority="735" dxfId="0" operator="greaterThan" stopIfTrue="1">
      <formula>"hoje()"</formula>
    </cfRule>
  </conditionalFormatting>
  <conditionalFormatting sqref="A137">
    <cfRule type="cellIs" priority="734" dxfId="0" operator="greaterThan" stopIfTrue="1">
      <formula>"hoje()"</formula>
    </cfRule>
  </conditionalFormatting>
  <conditionalFormatting sqref="A137">
    <cfRule type="cellIs" priority="733" dxfId="0" operator="greaterThan" stopIfTrue="1">
      <formula>"hoje()"</formula>
    </cfRule>
  </conditionalFormatting>
  <conditionalFormatting sqref="A137">
    <cfRule type="cellIs" priority="732" dxfId="0" operator="greaterThan" stopIfTrue="1">
      <formula>"hoje()"</formula>
    </cfRule>
  </conditionalFormatting>
  <conditionalFormatting sqref="A137">
    <cfRule type="cellIs" priority="731" dxfId="0" operator="greaterThan" stopIfTrue="1">
      <formula>"hoje()"</formula>
    </cfRule>
  </conditionalFormatting>
  <conditionalFormatting sqref="A137">
    <cfRule type="cellIs" priority="730" dxfId="0" operator="greaterThan" stopIfTrue="1">
      <formula>"hoje()"</formula>
    </cfRule>
  </conditionalFormatting>
  <conditionalFormatting sqref="A137">
    <cfRule type="cellIs" priority="729" dxfId="0" operator="greaterThan" stopIfTrue="1">
      <formula>"hoje()"</formula>
    </cfRule>
  </conditionalFormatting>
  <conditionalFormatting sqref="A137">
    <cfRule type="cellIs" priority="728" dxfId="0" operator="greaterThan" stopIfTrue="1">
      <formula>"hoje()"</formula>
    </cfRule>
  </conditionalFormatting>
  <conditionalFormatting sqref="A137">
    <cfRule type="cellIs" priority="727" dxfId="0" operator="greaterThan" stopIfTrue="1">
      <formula>"hoje()"</formula>
    </cfRule>
  </conditionalFormatting>
  <conditionalFormatting sqref="A137">
    <cfRule type="cellIs" priority="726" dxfId="0" operator="greaterThan" stopIfTrue="1">
      <formula>"hoje()"</formula>
    </cfRule>
  </conditionalFormatting>
  <conditionalFormatting sqref="A137">
    <cfRule type="cellIs" priority="725" dxfId="0" operator="greaterThan" stopIfTrue="1">
      <formula>"hoje()"</formula>
    </cfRule>
  </conditionalFormatting>
  <conditionalFormatting sqref="A137">
    <cfRule type="cellIs" priority="724" dxfId="0" operator="greaterThan" stopIfTrue="1">
      <formula>"hoje()"</formula>
    </cfRule>
  </conditionalFormatting>
  <conditionalFormatting sqref="A137">
    <cfRule type="cellIs" priority="723" dxfId="0" operator="greaterThan" stopIfTrue="1">
      <formula>"hoje()"</formula>
    </cfRule>
  </conditionalFormatting>
  <conditionalFormatting sqref="A137">
    <cfRule type="cellIs" priority="722" dxfId="0" operator="greaterThan" stopIfTrue="1">
      <formula>"hoje()"</formula>
    </cfRule>
  </conditionalFormatting>
  <conditionalFormatting sqref="A137">
    <cfRule type="cellIs" priority="721" dxfId="0" operator="greaterThan" stopIfTrue="1">
      <formula>"hoje()"</formula>
    </cfRule>
  </conditionalFormatting>
  <conditionalFormatting sqref="A137">
    <cfRule type="cellIs" priority="720" dxfId="0" operator="greaterThan" stopIfTrue="1">
      <formula>"hoje()"</formula>
    </cfRule>
  </conditionalFormatting>
  <conditionalFormatting sqref="A137">
    <cfRule type="cellIs" priority="719" dxfId="0" operator="greaterThan" stopIfTrue="1">
      <formula>"hoje()"</formula>
    </cfRule>
  </conditionalFormatting>
  <conditionalFormatting sqref="A137">
    <cfRule type="cellIs" priority="718" dxfId="0" operator="greaterThan" stopIfTrue="1">
      <formula>"hoje()"</formula>
    </cfRule>
  </conditionalFormatting>
  <conditionalFormatting sqref="A138">
    <cfRule type="cellIs" priority="717" dxfId="0" operator="greaterThan" stopIfTrue="1">
      <formula>"hoje()"</formula>
    </cfRule>
  </conditionalFormatting>
  <conditionalFormatting sqref="A138">
    <cfRule type="cellIs" priority="716" dxfId="0" operator="greaterThan" stopIfTrue="1">
      <formula>"hoje()"</formula>
    </cfRule>
  </conditionalFormatting>
  <conditionalFormatting sqref="A138">
    <cfRule type="cellIs" priority="715" dxfId="0" operator="greaterThan" stopIfTrue="1">
      <formula>"hoje()"</formula>
    </cfRule>
  </conditionalFormatting>
  <conditionalFormatting sqref="A138">
    <cfRule type="cellIs" priority="714" dxfId="0" operator="greaterThan" stopIfTrue="1">
      <formula>"hoje()"</formula>
    </cfRule>
  </conditionalFormatting>
  <conditionalFormatting sqref="A138">
    <cfRule type="cellIs" priority="713" dxfId="0" operator="greaterThan" stopIfTrue="1">
      <formula>"hoje()"</formula>
    </cfRule>
  </conditionalFormatting>
  <conditionalFormatting sqref="A138">
    <cfRule type="cellIs" priority="712" dxfId="0" operator="greaterThan" stopIfTrue="1">
      <formula>"hoje()"</formula>
    </cfRule>
  </conditionalFormatting>
  <conditionalFormatting sqref="A138">
    <cfRule type="cellIs" priority="711" dxfId="0" operator="greaterThan" stopIfTrue="1">
      <formula>"hoje()"</formula>
    </cfRule>
  </conditionalFormatting>
  <conditionalFormatting sqref="A138">
    <cfRule type="cellIs" priority="710" dxfId="0" operator="greaterThan" stopIfTrue="1">
      <formula>"hoje()"</formula>
    </cfRule>
  </conditionalFormatting>
  <conditionalFormatting sqref="A138">
    <cfRule type="cellIs" priority="709" dxfId="0" operator="greaterThan" stopIfTrue="1">
      <formula>"hoje()"</formula>
    </cfRule>
  </conditionalFormatting>
  <conditionalFormatting sqref="A138">
    <cfRule type="cellIs" priority="708" dxfId="0" operator="greaterThan" stopIfTrue="1">
      <formula>"hoje()"</formula>
    </cfRule>
  </conditionalFormatting>
  <conditionalFormatting sqref="A138">
    <cfRule type="cellIs" priority="707" dxfId="0" operator="greaterThan" stopIfTrue="1">
      <formula>"hoje()"</formula>
    </cfRule>
  </conditionalFormatting>
  <conditionalFormatting sqref="A138">
    <cfRule type="cellIs" priority="706" dxfId="0" operator="greaterThan" stopIfTrue="1">
      <formula>"hoje()"</formula>
    </cfRule>
  </conditionalFormatting>
  <conditionalFormatting sqref="A138">
    <cfRule type="cellIs" priority="705" dxfId="0" operator="greaterThan" stopIfTrue="1">
      <formula>"hoje()"</formula>
    </cfRule>
  </conditionalFormatting>
  <conditionalFormatting sqref="A138">
    <cfRule type="cellIs" priority="704" dxfId="0" operator="greaterThan" stopIfTrue="1">
      <formula>"hoje()"</formula>
    </cfRule>
  </conditionalFormatting>
  <conditionalFormatting sqref="A138">
    <cfRule type="cellIs" priority="703" dxfId="0" operator="greaterThan" stopIfTrue="1">
      <formula>"hoje()"</formula>
    </cfRule>
  </conditionalFormatting>
  <conditionalFormatting sqref="A138">
    <cfRule type="cellIs" priority="702" dxfId="0" operator="greaterThan" stopIfTrue="1">
      <formula>"hoje()"</formula>
    </cfRule>
  </conditionalFormatting>
  <conditionalFormatting sqref="A138">
    <cfRule type="cellIs" priority="701" dxfId="0" operator="greaterThan" stopIfTrue="1">
      <formula>"hoje()"</formula>
    </cfRule>
  </conditionalFormatting>
  <conditionalFormatting sqref="A138">
    <cfRule type="cellIs" priority="700" dxfId="0" operator="greaterThan" stopIfTrue="1">
      <formula>"hoje()"</formula>
    </cfRule>
  </conditionalFormatting>
  <conditionalFormatting sqref="A138">
    <cfRule type="cellIs" priority="699" dxfId="0" operator="greaterThan" stopIfTrue="1">
      <formula>"hoje()"</formula>
    </cfRule>
  </conditionalFormatting>
  <conditionalFormatting sqref="A138">
    <cfRule type="cellIs" priority="698" dxfId="0" operator="greaterThan" stopIfTrue="1">
      <formula>"hoje()"</formula>
    </cfRule>
  </conditionalFormatting>
  <conditionalFormatting sqref="A138">
    <cfRule type="cellIs" priority="697" dxfId="0" operator="greaterThan" stopIfTrue="1">
      <formula>"hoje()"</formula>
    </cfRule>
  </conditionalFormatting>
  <conditionalFormatting sqref="A138">
    <cfRule type="cellIs" priority="696" dxfId="0" operator="greaterThan" stopIfTrue="1">
      <formula>"hoje()"</formula>
    </cfRule>
  </conditionalFormatting>
  <conditionalFormatting sqref="A138">
    <cfRule type="cellIs" priority="695" dxfId="0" operator="greaterThan" stopIfTrue="1">
      <formula>"hoje()"</formula>
    </cfRule>
  </conditionalFormatting>
  <conditionalFormatting sqref="A138">
    <cfRule type="cellIs" priority="694" dxfId="0" operator="greaterThan" stopIfTrue="1">
      <formula>"hoje()"</formula>
    </cfRule>
  </conditionalFormatting>
  <conditionalFormatting sqref="A138">
    <cfRule type="cellIs" priority="693" dxfId="0" operator="greaterThan" stopIfTrue="1">
      <formula>"hoje()"</formula>
    </cfRule>
  </conditionalFormatting>
  <conditionalFormatting sqref="A138">
    <cfRule type="cellIs" priority="692" dxfId="0" operator="greaterThan" stopIfTrue="1">
      <formula>"hoje()"</formula>
    </cfRule>
  </conditionalFormatting>
  <conditionalFormatting sqref="A138">
    <cfRule type="cellIs" priority="691" dxfId="0" operator="greaterThan" stopIfTrue="1">
      <formula>"hoje()"</formula>
    </cfRule>
  </conditionalFormatting>
  <conditionalFormatting sqref="A138">
    <cfRule type="cellIs" priority="690" dxfId="0" operator="greaterThan" stopIfTrue="1">
      <formula>"hoje()"</formula>
    </cfRule>
  </conditionalFormatting>
  <conditionalFormatting sqref="A138">
    <cfRule type="cellIs" priority="689" dxfId="0" operator="greaterThan" stopIfTrue="1">
      <formula>"hoje()"</formula>
    </cfRule>
  </conditionalFormatting>
  <conditionalFormatting sqref="A138">
    <cfRule type="cellIs" priority="688" dxfId="0" operator="greaterThan" stopIfTrue="1">
      <formula>"hoje()"</formula>
    </cfRule>
  </conditionalFormatting>
  <conditionalFormatting sqref="A138">
    <cfRule type="cellIs" priority="687" dxfId="0" operator="greaterThan" stopIfTrue="1">
      <formula>"hoje()"</formula>
    </cfRule>
  </conditionalFormatting>
  <conditionalFormatting sqref="A139">
    <cfRule type="cellIs" priority="686" dxfId="0" operator="greaterThan" stopIfTrue="1">
      <formula>"hoje()"</formula>
    </cfRule>
  </conditionalFormatting>
  <conditionalFormatting sqref="A139">
    <cfRule type="cellIs" priority="685" dxfId="0" operator="greaterThan" stopIfTrue="1">
      <formula>"hoje()"</formula>
    </cfRule>
  </conditionalFormatting>
  <conditionalFormatting sqref="A139">
    <cfRule type="cellIs" priority="684" dxfId="0" operator="greaterThan" stopIfTrue="1">
      <formula>"hoje()"</formula>
    </cfRule>
  </conditionalFormatting>
  <conditionalFormatting sqref="A139">
    <cfRule type="cellIs" priority="683" dxfId="0" operator="greaterThan" stopIfTrue="1">
      <formula>"hoje()"</formula>
    </cfRule>
  </conditionalFormatting>
  <conditionalFormatting sqref="A139">
    <cfRule type="cellIs" priority="682" dxfId="0" operator="greaterThan" stopIfTrue="1">
      <formula>"hoje()"</formula>
    </cfRule>
  </conditionalFormatting>
  <conditionalFormatting sqref="A139">
    <cfRule type="cellIs" priority="681" dxfId="0" operator="greaterThan" stopIfTrue="1">
      <formula>"hoje()"</formula>
    </cfRule>
  </conditionalFormatting>
  <conditionalFormatting sqref="A139">
    <cfRule type="cellIs" priority="680" dxfId="0" operator="greaterThan" stopIfTrue="1">
      <formula>"hoje()"</formula>
    </cfRule>
  </conditionalFormatting>
  <conditionalFormatting sqref="A139">
    <cfRule type="cellIs" priority="679" dxfId="0" operator="greaterThan" stopIfTrue="1">
      <formula>"hoje()"</formula>
    </cfRule>
  </conditionalFormatting>
  <conditionalFormatting sqref="A139">
    <cfRule type="cellIs" priority="678" dxfId="0" operator="greaterThan" stopIfTrue="1">
      <formula>"hoje()"</formula>
    </cfRule>
  </conditionalFormatting>
  <conditionalFormatting sqref="A139">
    <cfRule type="cellIs" priority="677" dxfId="0" operator="greaterThan" stopIfTrue="1">
      <formula>"hoje()"</formula>
    </cfRule>
  </conditionalFormatting>
  <conditionalFormatting sqref="A139">
    <cfRule type="cellIs" priority="676" dxfId="0" operator="greaterThan" stopIfTrue="1">
      <formula>"hoje()"</formula>
    </cfRule>
  </conditionalFormatting>
  <conditionalFormatting sqref="A139">
    <cfRule type="cellIs" priority="675" dxfId="0" operator="greaterThan" stopIfTrue="1">
      <formula>"hoje()"</formula>
    </cfRule>
  </conditionalFormatting>
  <conditionalFormatting sqref="A139">
    <cfRule type="cellIs" priority="674" dxfId="0" operator="greaterThan" stopIfTrue="1">
      <formula>"hoje()"</formula>
    </cfRule>
  </conditionalFormatting>
  <conditionalFormatting sqref="A139">
    <cfRule type="cellIs" priority="673" dxfId="0" operator="greaterThan" stopIfTrue="1">
      <formula>"hoje()"</formula>
    </cfRule>
  </conditionalFormatting>
  <conditionalFormatting sqref="A139">
    <cfRule type="cellIs" priority="672" dxfId="0" operator="greaterThan" stopIfTrue="1">
      <formula>"hoje()"</formula>
    </cfRule>
  </conditionalFormatting>
  <conditionalFormatting sqref="A139">
    <cfRule type="cellIs" priority="671" dxfId="0" operator="greaterThan" stopIfTrue="1">
      <formula>"hoje()"</formula>
    </cfRule>
  </conditionalFormatting>
  <conditionalFormatting sqref="A139">
    <cfRule type="cellIs" priority="670" dxfId="0" operator="greaterThan" stopIfTrue="1">
      <formula>"hoje()"</formula>
    </cfRule>
  </conditionalFormatting>
  <conditionalFormatting sqref="A139">
    <cfRule type="cellIs" priority="669" dxfId="0" operator="greaterThan" stopIfTrue="1">
      <formula>"hoje()"</formula>
    </cfRule>
  </conditionalFormatting>
  <conditionalFormatting sqref="A139">
    <cfRule type="cellIs" priority="668" dxfId="0" operator="greaterThan" stopIfTrue="1">
      <formula>"hoje()"</formula>
    </cfRule>
  </conditionalFormatting>
  <conditionalFormatting sqref="A139">
    <cfRule type="cellIs" priority="667" dxfId="0" operator="greaterThan" stopIfTrue="1">
      <formula>"hoje()"</formula>
    </cfRule>
  </conditionalFormatting>
  <conditionalFormatting sqref="A139">
    <cfRule type="cellIs" priority="666" dxfId="0" operator="greaterThan" stopIfTrue="1">
      <formula>"hoje()"</formula>
    </cfRule>
  </conditionalFormatting>
  <conditionalFormatting sqref="A139">
    <cfRule type="cellIs" priority="665" dxfId="0" operator="greaterThan" stopIfTrue="1">
      <formula>"hoje()"</formula>
    </cfRule>
  </conditionalFormatting>
  <conditionalFormatting sqref="A139">
    <cfRule type="cellIs" priority="664" dxfId="0" operator="greaterThan" stopIfTrue="1">
      <formula>"hoje()"</formula>
    </cfRule>
  </conditionalFormatting>
  <conditionalFormatting sqref="A139">
    <cfRule type="cellIs" priority="663" dxfId="0" operator="greaterThan" stopIfTrue="1">
      <formula>"hoje()"</formula>
    </cfRule>
  </conditionalFormatting>
  <conditionalFormatting sqref="A139">
    <cfRule type="cellIs" priority="662" dxfId="0" operator="greaterThan" stopIfTrue="1">
      <formula>"hoje()"</formula>
    </cfRule>
  </conditionalFormatting>
  <conditionalFormatting sqref="A139">
    <cfRule type="cellIs" priority="661" dxfId="0" operator="greaterThan" stopIfTrue="1">
      <formula>"hoje()"</formula>
    </cfRule>
  </conditionalFormatting>
  <conditionalFormatting sqref="A139">
    <cfRule type="cellIs" priority="660" dxfId="0" operator="greaterThan" stopIfTrue="1">
      <formula>"hoje()"</formula>
    </cfRule>
  </conditionalFormatting>
  <conditionalFormatting sqref="A139">
    <cfRule type="cellIs" priority="659" dxfId="0" operator="greaterThan" stopIfTrue="1">
      <formula>"hoje()"</formula>
    </cfRule>
  </conditionalFormatting>
  <conditionalFormatting sqref="A139">
    <cfRule type="cellIs" priority="658" dxfId="0" operator="greaterThan" stopIfTrue="1">
      <formula>"hoje()"</formula>
    </cfRule>
  </conditionalFormatting>
  <conditionalFormatting sqref="A139">
    <cfRule type="cellIs" priority="657" dxfId="0" operator="greaterThan" stopIfTrue="1">
      <formula>"hoje()"</formula>
    </cfRule>
  </conditionalFormatting>
  <conditionalFormatting sqref="A139">
    <cfRule type="cellIs" priority="656" dxfId="0" operator="greaterThan" stopIfTrue="1">
      <formula>"hoje()"</formula>
    </cfRule>
  </conditionalFormatting>
  <conditionalFormatting sqref="A139">
    <cfRule type="cellIs" priority="655" dxfId="0" operator="greaterThan" stopIfTrue="1">
      <formula>"hoje()"</formula>
    </cfRule>
  </conditionalFormatting>
  <conditionalFormatting sqref="A139">
    <cfRule type="cellIs" priority="654" dxfId="0" operator="greaterThan" stopIfTrue="1">
      <formula>"hoje()"</formula>
    </cfRule>
  </conditionalFormatting>
  <conditionalFormatting sqref="A139">
    <cfRule type="cellIs" priority="653" dxfId="0" operator="greaterThan" stopIfTrue="1">
      <formula>"hoje()"</formula>
    </cfRule>
  </conditionalFormatting>
  <conditionalFormatting sqref="A139">
    <cfRule type="cellIs" priority="652" dxfId="0" operator="greaterThan" stopIfTrue="1">
      <formula>"hoje()"</formula>
    </cfRule>
  </conditionalFormatting>
  <conditionalFormatting sqref="A139">
    <cfRule type="cellIs" priority="651" dxfId="0" operator="greaterThan" stopIfTrue="1">
      <formula>"hoje()"</formula>
    </cfRule>
  </conditionalFormatting>
  <conditionalFormatting sqref="A139">
    <cfRule type="cellIs" priority="650" dxfId="0" operator="greaterThan" stopIfTrue="1">
      <formula>"hoje()"</formula>
    </cfRule>
  </conditionalFormatting>
  <conditionalFormatting sqref="A140">
    <cfRule type="cellIs" priority="649" dxfId="0" operator="greaterThan" stopIfTrue="1">
      <formula>"hoje()"</formula>
    </cfRule>
  </conditionalFormatting>
  <conditionalFormatting sqref="A140">
    <cfRule type="cellIs" priority="648" dxfId="0" operator="greaterThan" stopIfTrue="1">
      <formula>"hoje()"</formula>
    </cfRule>
  </conditionalFormatting>
  <conditionalFormatting sqref="A140">
    <cfRule type="cellIs" priority="647" dxfId="0" operator="greaterThan" stopIfTrue="1">
      <formula>"hoje()"</formula>
    </cfRule>
  </conditionalFormatting>
  <conditionalFormatting sqref="A140">
    <cfRule type="cellIs" priority="646" dxfId="0" operator="greaterThan" stopIfTrue="1">
      <formula>"hoje()"</formula>
    </cfRule>
  </conditionalFormatting>
  <conditionalFormatting sqref="A140">
    <cfRule type="cellIs" priority="645" dxfId="0" operator="greaterThan" stopIfTrue="1">
      <formula>"hoje()"</formula>
    </cfRule>
  </conditionalFormatting>
  <conditionalFormatting sqref="A140">
    <cfRule type="cellIs" priority="644" dxfId="0" operator="greaterThan" stopIfTrue="1">
      <formula>"hoje()"</formula>
    </cfRule>
  </conditionalFormatting>
  <conditionalFormatting sqref="A140">
    <cfRule type="cellIs" priority="643" dxfId="0" operator="greaterThan" stopIfTrue="1">
      <formula>"hoje()"</formula>
    </cfRule>
  </conditionalFormatting>
  <conditionalFormatting sqref="A140">
    <cfRule type="cellIs" priority="642" dxfId="0" operator="greaterThan" stopIfTrue="1">
      <formula>"hoje()"</formula>
    </cfRule>
  </conditionalFormatting>
  <conditionalFormatting sqref="A140">
    <cfRule type="cellIs" priority="641" dxfId="0" operator="greaterThan" stopIfTrue="1">
      <formula>"hoje()"</formula>
    </cfRule>
  </conditionalFormatting>
  <conditionalFormatting sqref="A140">
    <cfRule type="cellIs" priority="640" dxfId="0" operator="greaterThan" stopIfTrue="1">
      <formula>"hoje()"</formula>
    </cfRule>
  </conditionalFormatting>
  <conditionalFormatting sqref="A140">
    <cfRule type="cellIs" priority="639" dxfId="0" operator="greaterThan" stopIfTrue="1">
      <formula>"hoje()"</formula>
    </cfRule>
  </conditionalFormatting>
  <conditionalFormatting sqref="A140">
    <cfRule type="cellIs" priority="638" dxfId="0" operator="greaterThan" stopIfTrue="1">
      <formula>"hoje()"</formula>
    </cfRule>
  </conditionalFormatting>
  <conditionalFormatting sqref="A140">
    <cfRule type="cellIs" priority="637" dxfId="0" operator="greaterThan" stopIfTrue="1">
      <formula>"hoje()"</formula>
    </cfRule>
  </conditionalFormatting>
  <conditionalFormatting sqref="A140">
    <cfRule type="cellIs" priority="636" dxfId="0" operator="greaterThan" stopIfTrue="1">
      <formula>"hoje()"</formula>
    </cfRule>
  </conditionalFormatting>
  <conditionalFormatting sqref="A140">
    <cfRule type="cellIs" priority="635" dxfId="0" operator="greaterThan" stopIfTrue="1">
      <formula>"hoje()"</formula>
    </cfRule>
  </conditionalFormatting>
  <conditionalFormatting sqref="A140">
    <cfRule type="cellIs" priority="634" dxfId="0" operator="greaterThan" stopIfTrue="1">
      <formula>"hoje()"</formula>
    </cfRule>
  </conditionalFormatting>
  <conditionalFormatting sqref="A140">
    <cfRule type="cellIs" priority="633" dxfId="0" operator="greaterThan" stopIfTrue="1">
      <formula>"hoje()"</formula>
    </cfRule>
  </conditionalFormatting>
  <conditionalFormatting sqref="A140">
    <cfRule type="cellIs" priority="632" dxfId="0" operator="greaterThan" stopIfTrue="1">
      <formula>"hoje()"</formula>
    </cfRule>
  </conditionalFormatting>
  <conditionalFormatting sqref="A140">
    <cfRule type="cellIs" priority="631" dxfId="0" operator="greaterThan" stopIfTrue="1">
      <formula>"hoje()"</formula>
    </cfRule>
  </conditionalFormatting>
  <conditionalFormatting sqref="A140">
    <cfRule type="cellIs" priority="630" dxfId="0" operator="greaterThan" stopIfTrue="1">
      <formula>"hoje()"</formula>
    </cfRule>
  </conditionalFormatting>
  <conditionalFormatting sqref="A140">
    <cfRule type="cellIs" priority="629" dxfId="0" operator="greaterThan" stopIfTrue="1">
      <formula>"hoje()"</formula>
    </cfRule>
  </conditionalFormatting>
  <conditionalFormatting sqref="A140">
    <cfRule type="cellIs" priority="628" dxfId="0" operator="greaterThan" stopIfTrue="1">
      <formula>"hoje()"</formula>
    </cfRule>
  </conditionalFormatting>
  <conditionalFormatting sqref="A140">
    <cfRule type="cellIs" priority="627" dxfId="0" operator="greaterThan" stopIfTrue="1">
      <formula>"hoje()"</formula>
    </cfRule>
  </conditionalFormatting>
  <conditionalFormatting sqref="A140">
    <cfRule type="cellIs" priority="626" dxfId="0" operator="greaterThan" stopIfTrue="1">
      <formula>"hoje()"</formula>
    </cfRule>
  </conditionalFormatting>
  <conditionalFormatting sqref="A140">
    <cfRule type="cellIs" priority="625" dxfId="0" operator="greaterThan" stopIfTrue="1">
      <formula>"hoje()"</formula>
    </cfRule>
  </conditionalFormatting>
  <conditionalFormatting sqref="A140">
    <cfRule type="cellIs" priority="624" dxfId="0" operator="greaterThan" stopIfTrue="1">
      <formula>"hoje()"</formula>
    </cfRule>
  </conditionalFormatting>
  <conditionalFormatting sqref="A140">
    <cfRule type="cellIs" priority="623" dxfId="0" operator="greaterThan" stopIfTrue="1">
      <formula>"hoje()"</formula>
    </cfRule>
  </conditionalFormatting>
  <conditionalFormatting sqref="A140">
    <cfRule type="cellIs" priority="622" dxfId="0" operator="greaterThan" stopIfTrue="1">
      <formula>"hoje()"</formula>
    </cfRule>
  </conditionalFormatting>
  <conditionalFormatting sqref="A140">
    <cfRule type="cellIs" priority="621" dxfId="0" operator="greaterThan" stopIfTrue="1">
      <formula>"hoje()"</formula>
    </cfRule>
  </conditionalFormatting>
  <conditionalFormatting sqref="A140">
    <cfRule type="cellIs" priority="620" dxfId="0" operator="greaterThan" stopIfTrue="1">
      <formula>"hoje()"</formula>
    </cfRule>
  </conditionalFormatting>
  <conditionalFormatting sqref="A140">
    <cfRule type="cellIs" priority="619" dxfId="0" operator="greaterThan" stopIfTrue="1">
      <formula>"hoje()"</formula>
    </cfRule>
  </conditionalFormatting>
  <conditionalFormatting sqref="A140">
    <cfRule type="cellIs" priority="618" dxfId="0" operator="greaterThan" stopIfTrue="1">
      <formula>"hoje()"</formula>
    </cfRule>
  </conditionalFormatting>
  <conditionalFormatting sqref="A140">
    <cfRule type="cellIs" priority="617" dxfId="0" operator="greaterThan" stopIfTrue="1">
      <formula>"hoje()"</formula>
    </cfRule>
  </conditionalFormatting>
  <conditionalFormatting sqref="A140">
    <cfRule type="cellIs" priority="616" dxfId="0" operator="greaterThan" stopIfTrue="1">
      <formula>"hoje()"</formula>
    </cfRule>
  </conditionalFormatting>
  <conditionalFormatting sqref="A140">
    <cfRule type="cellIs" priority="615" dxfId="0" operator="greaterThan" stopIfTrue="1">
      <formula>"hoje()"</formula>
    </cfRule>
  </conditionalFormatting>
  <conditionalFormatting sqref="A140">
    <cfRule type="cellIs" priority="614" dxfId="0" operator="greaterThan" stopIfTrue="1">
      <formula>"hoje()"</formula>
    </cfRule>
  </conditionalFormatting>
  <conditionalFormatting sqref="A140">
    <cfRule type="cellIs" priority="613" dxfId="0" operator="greaterThan" stopIfTrue="1">
      <formula>"hoje()"</formula>
    </cfRule>
  </conditionalFormatting>
  <conditionalFormatting sqref="A140">
    <cfRule type="cellIs" priority="612" dxfId="0" operator="greaterThan" stopIfTrue="1">
      <formula>"hoje()"</formula>
    </cfRule>
  </conditionalFormatting>
  <conditionalFormatting sqref="A140">
    <cfRule type="cellIs" priority="611" dxfId="0" operator="greaterThan" stopIfTrue="1">
      <formula>"hoje()"</formula>
    </cfRule>
  </conditionalFormatting>
  <conditionalFormatting sqref="A140">
    <cfRule type="cellIs" priority="610" dxfId="0" operator="greaterThan" stopIfTrue="1">
      <formula>"hoje()"</formula>
    </cfRule>
  </conditionalFormatting>
  <conditionalFormatting sqref="A140">
    <cfRule type="cellIs" priority="609" dxfId="0" operator="greaterThan" stopIfTrue="1">
      <formula>"hoje()"</formula>
    </cfRule>
  </conditionalFormatting>
  <conditionalFormatting sqref="A140">
    <cfRule type="cellIs" priority="608" dxfId="0" operator="greaterThan" stopIfTrue="1">
      <formula>"hoje()"</formula>
    </cfRule>
  </conditionalFormatting>
  <conditionalFormatting sqref="A140">
    <cfRule type="cellIs" priority="607" dxfId="0" operator="greaterThan" stopIfTrue="1">
      <formula>"hoje()"</formula>
    </cfRule>
  </conditionalFormatting>
  <conditionalFormatting sqref="A141">
    <cfRule type="cellIs" priority="606" dxfId="0" operator="greaterThan" stopIfTrue="1">
      <formula>"hoje()"</formula>
    </cfRule>
  </conditionalFormatting>
  <conditionalFormatting sqref="A141">
    <cfRule type="cellIs" priority="605" dxfId="0" operator="greaterThan" stopIfTrue="1">
      <formula>"hoje()"</formula>
    </cfRule>
  </conditionalFormatting>
  <conditionalFormatting sqref="A141">
    <cfRule type="cellIs" priority="604" dxfId="0" operator="greaterThan" stopIfTrue="1">
      <formula>"hoje()"</formula>
    </cfRule>
  </conditionalFormatting>
  <conditionalFormatting sqref="A141">
    <cfRule type="cellIs" priority="603" dxfId="0" operator="greaterThan" stopIfTrue="1">
      <formula>"hoje()"</formula>
    </cfRule>
  </conditionalFormatting>
  <conditionalFormatting sqref="A141">
    <cfRule type="cellIs" priority="602" dxfId="0" operator="greaterThan" stopIfTrue="1">
      <formula>"hoje()"</formula>
    </cfRule>
  </conditionalFormatting>
  <conditionalFormatting sqref="A141">
    <cfRule type="cellIs" priority="601" dxfId="0" operator="greaterThan" stopIfTrue="1">
      <formula>"hoje()"</formula>
    </cfRule>
  </conditionalFormatting>
  <conditionalFormatting sqref="A141">
    <cfRule type="cellIs" priority="600" dxfId="0" operator="greaterThan" stopIfTrue="1">
      <formula>"hoje()"</formula>
    </cfRule>
  </conditionalFormatting>
  <conditionalFormatting sqref="A141">
    <cfRule type="cellIs" priority="599" dxfId="0" operator="greaterThan" stopIfTrue="1">
      <formula>"hoje()"</formula>
    </cfRule>
  </conditionalFormatting>
  <conditionalFormatting sqref="A141">
    <cfRule type="cellIs" priority="598" dxfId="0" operator="greaterThan" stopIfTrue="1">
      <formula>"hoje()"</formula>
    </cfRule>
  </conditionalFormatting>
  <conditionalFormatting sqref="A141">
    <cfRule type="cellIs" priority="597" dxfId="0" operator="greaterThan" stopIfTrue="1">
      <formula>"hoje()"</formula>
    </cfRule>
  </conditionalFormatting>
  <conditionalFormatting sqref="A141">
    <cfRule type="cellIs" priority="596" dxfId="0" operator="greaterThan" stopIfTrue="1">
      <formula>"hoje()"</formula>
    </cfRule>
  </conditionalFormatting>
  <conditionalFormatting sqref="A141">
    <cfRule type="cellIs" priority="595" dxfId="0" operator="greaterThan" stopIfTrue="1">
      <formula>"hoje()"</formula>
    </cfRule>
  </conditionalFormatting>
  <conditionalFormatting sqref="A141">
    <cfRule type="cellIs" priority="594" dxfId="0" operator="greaterThan" stopIfTrue="1">
      <formula>"hoje()"</formula>
    </cfRule>
  </conditionalFormatting>
  <conditionalFormatting sqref="A141">
    <cfRule type="cellIs" priority="593" dxfId="0" operator="greaterThan" stopIfTrue="1">
      <formula>"hoje()"</formula>
    </cfRule>
  </conditionalFormatting>
  <conditionalFormatting sqref="A141">
    <cfRule type="cellIs" priority="592" dxfId="0" operator="greaterThan" stopIfTrue="1">
      <formula>"hoje()"</formula>
    </cfRule>
  </conditionalFormatting>
  <conditionalFormatting sqref="A141">
    <cfRule type="cellIs" priority="591" dxfId="0" operator="greaterThan" stopIfTrue="1">
      <formula>"hoje()"</formula>
    </cfRule>
  </conditionalFormatting>
  <conditionalFormatting sqref="A141">
    <cfRule type="cellIs" priority="590" dxfId="0" operator="greaterThan" stopIfTrue="1">
      <formula>"hoje()"</formula>
    </cfRule>
  </conditionalFormatting>
  <conditionalFormatting sqref="A141">
    <cfRule type="cellIs" priority="589" dxfId="0" operator="greaterThan" stopIfTrue="1">
      <formula>"hoje()"</formula>
    </cfRule>
  </conditionalFormatting>
  <conditionalFormatting sqref="A141">
    <cfRule type="cellIs" priority="588" dxfId="0" operator="greaterThan" stopIfTrue="1">
      <formula>"hoje()"</formula>
    </cfRule>
  </conditionalFormatting>
  <conditionalFormatting sqref="A141">
    <cfRule type="cellIs" priority="587" dxfId="0" operator="greaterThan" stopIfTrue="1">
      <formula>"hoje()"</formula>
    </cfRule>
  </conditionalFormatting>
  <conditionalFormatting sqref="A141">
    <cfRule type="cellIs" priority="586" dxfId="0" operator="greaterThan" stopIfTrue="1">
      <formula>"hoje()"</formula>
    </cfRule>
  </conditionalFormatting>
  <conditionalFormatting sqref="A141">
    <cfRule type="cellIs" priority="585" dxfId="0" operator="greaterThan" stopIfTrue="1">
      <formula>"hoje()"</formula>
    </cfRule>
  </conditionalFormatting>
  <conditionalFormatting sqref="A141">
    <cfRule type="cellIs" priority="584" dxfId="0" operator="greaterThan" stopIfTrue="1">
      <formula>"hoje()"</formula>
    </cfRule>
  </conditionalFormatting>
  <conditionalFormatting sqref="A141">
    <cfRule type="cellIs" priority="583" dxfId="0" operator="greaterThan" stopIfTrue="1">
      <formula>"hoje()"</formula>
    </cfRule>
  </conditionalFormatting>
  <conditionalFormatting sqref="A141">
    <cfRule type="cellIs" priority="582" dxfId="0" operator="greaterThan" stopIfTrue="1">
      <formula>"hoje()"</formula>
    </cfRule>
  </conditionalFormatting>
  <conditionalFormatting sqref="A141">
    <cfRule type="cellIs" priority="581" dxfId="0" operator="greaterThan" stopIfTrue="1">
      <formula>"hoje()"</formula>
    </cfRule>
  </conditionalFormatting>
  <conditionalFormatting sqref="A141">
    <cfRule type="cellIs" priority="580" dxfId="0" operator="greaterThan" stopIfTrue="1">
      <formula>"hoje()"</formula>
    </cfRule>
  </conditionalFormatting>
  <conditionalFormatting sqref="A141">
    <cfRule type="cellIs" priority="579" dxfId="0" operator="greaterThan" stopIfTrue="1">
      <formula>"hoje()"</formula>
    </cfRule>
  </conditionalFormatting>
  <conditionalFormatting sqref="A141">
    <cfRule type="cellIs" priority="578" dxfId="0" operator="greaterThan" stopIfTrue="1">
      <formula>"hoje()"</formula>
    </cfRule>
  </conditionalFormatting>
  <conditionalFormatting sqref="A141">
    <cfRule type="cellIs" priority="577" dxfId="0" operator="greaterThan" stopIfTrue="1">
      <formula>"hoje()"</formula>
    </cfRule>
  </conditionalFormatting>
  <conditionalFormatting sqref="A141">
    <cfRule type="cellIs" priority="576" dxfId="0" operator="greaterThan" stopIfTrue="1">
      <formula>"hoje()"</formula>
    </cfRule>
  </conditionalFormatting>
  <conditionalFormatting sqref="A141">
    <cfRule type="cellIs" priority="575" dxfId="0" operator="greaterThan" stopIfTrue="1">
      <formula>"hoje()"</formula>
    </cfRule>
  </conditionalFormatting>
  <conditionalFormatting sqref="A141">
    <cfRule type="cellIs" priority="574" dxfId="0" operator="greaterThan" stopIfTrue="1">
      <formula>"hoje()"</formula>
    </cfRule>
  </conditionalFormatting>
  <conditionalFormatting sqref="A141">
    <cfRule type="cellIs" priority="573" dxfId="0" operator="greaterThan" stopIfTrue="1">
      <formula>"hoje()"</formula>
    </cfRule>
  </conditionalFormatting>
  <conditionalFormatting sqref="A141">
    <cfRule type="cellIs" priority="572" dxfId="0" operator="greaterThan" stopIfTrue="1">
      <formula>"hoje()"</formula>
    </cfRule>
  </conditionalFormatting>
  <conditionalFormatting sqref="A141">
    <cfRule type="cellIs" priority="571" dxfId="0" operator="greaterThan" stopIfTrue="1">
      <formula>"hoje()"</formula>
    </cfRule>
  </conditionalFormatting>
  <conditionalFormatting sqref="A141">
    <cfRule type="cellIs" priority="570" dxfId="0" operator="greaterThan" stopIfTrue="1">
      <formula>"hoje()"</formula>
    </cfRule>
  </conditionalFormatting>
  <conditionalFormatting sqref="A141">
    <cfRule type="cellIs" priority="569" dxfId="0" operator="greaterThan" stopIfTrue="1">
      <formula>"hoje()"</formula>
    </cfRule>
  </conditionalFormatting>
  <conditionalFormatting sqref="A141">
    <cfRule type="cellIs" priority="568" dxfId="0" operator="greaterThan" stopIfTrue="1">
      <formula>"hoje()"</formula>
    </cfRule>
  </conditionalFormatting>
  <conditionalFormatting sqref="A141">
    <cfRule type="cellIs" priority="567" dxfId="0" operator="greaterThan" stopIfTrue="1">
      <formula>"hoje()"</formula>
    </cfRule>
  </conditionalFormatting>
  <conditionalFormatting sqref="A141">
    <cfRule type="cellIs" priority="566" dxfId="0" operator="greaterThan" stopIfTrue="1">
      <formula>"hoje()"</formula>
    </cfRule>
  </conditionalFormatting>
  <conditionalFormatting sqref="A141">
    <cfRule type="cellIs" priority="565" dxfId="0" operator="greaterThan" stopIfTrue="1">
      <formula>"hoje()"</formula>
    </cfRule>
  </conditionalFormatting>
  <conditionalFormatting sqref="A141">
    <cfRule type="cellIs" priority="564" dxfId="0" operator="greaterThan" stopIfTrue="1">
      <formula>"hoje()"</formula>
    </cfRule>
  </conditionalFormatting>
  <conditionalFormatting sqref="A142:A143">
    <cfRule type="cellIs" priority="563" dxfId="0" operator="greaterThan" stopIfTrue="1">
      <formula>"hoje()"</formula>
    </cfRule>
  </conditionalFormatting>
  <conditionalFormatting sqref="A142:A143">
    <cfRule type="cellIs" priority="562" dxfId="0" operator="greaterThan" stopIfTrue="1">
      <formula>"hoje()"</formula>
    </cfRule>
  </conditionalFormatting>
  <conditionalFormatting sqref="A142:A143">
    <cfRule type="cellIs" priority="561" dxfId="0" operator="greaterThan" stopIfTrue="1">
      <formula>"hoje()"</formula>
    </cfRule>
  </conditionalFormatting>
  <conditionalFormatting sqref="A142:A143">
    <cfRule type="cellIs" priority="560" dxfId="0" operator="greaterThan" stopIfTrue="1">
      <formula>"hoje()"</formula>
    </cfRule>
  </conditionalFormatting>
  <conditionalFormatting sqref="A142:A143">
    <cfRule type="cellIs" priority="559" dxfId="0" operator="greaterThan" stopIfTrue="1">
      <formula>"hoje()"</formula>
    </cfRule>
  </conditionalFormatting>
  <conditionalFormatting sqref="A142:A143">
    <cfRule type="cellIs" priority="558" dxfId="0" operator="greaterThan" stopIfTrue="1">
      <formula>"hoje()"</formula>
    </cfRule>
  </conditionalFormatting>
  <conditionalFormatting sqref="A142:A143">
    <cfRule type="cellIs" priority="557" dxfId="0" operator="greaterThan" stopIfTrue="1">
      <formula>"hoje()"</formula>
    </cfRule>
  </conditionalFormatting>
  <conditionalFormatting sqref="A142:A143">
    <cfRule type="cellIs" priority="556" dxfId="0" operator="greaterThan" stopIfTrue="1">
      <formula>"hoje()"</formula>
    </cfRule>
  </conditionalFormatting>
  <conditionalFormatting sqref="A142:A143">
    <cfRule type="cellIs" priority="555" dxfId="0" operator="greaterThan" stopIfTrue="1">
      <formula>"hoje()"</formula>
    </cfRule>
  </conditionalFormatting>
  <conditionalFormatting sqref="A142:A143">
    <cfRule type="cellIs" priority="554" dxfId="0" operator="greaterThan" stopIfTrue="1">
      <formula>"hoje()"</formula>
    </cfRule>
  </conditionalFormatting>
  <conditionalFormatting sqref="A142:A143">
    <cfRule type="cellIs" priority="553" dxfId="0" operator="greaterThan" stopIfTrue="1">
      <formula>"hoje()"</formula>
    </cfRule>
  </conditionalFormatting>
  <conditionalFormatting sqref="A142:A143">
    <cfRule type="cellIs" priority="552" dxfId="0" operator="greaterThan" stopIfTrue="1">
      <formula>"hoje()"</formula>
    </cfRule>
  </conditionalFormatting>
  <conditionalFormatting sqref="A142:A143">
    <cfRule type="cellIs" priority="551" dxfId="0" operator="greaterThan" stopIfTrue="1">
      <formula>"hoje()"</formula>
    </cfRule>
  </conditionalFormatting>
  <conditionalFormatting sqref="A142:A143">
    <cfRule type="cellIs" priority="550" dxfId="0" operator="greaterThan" stopIfTrue="1">
      <formula>"hoje()"</formula>
    </cfRule>
  </conditionalFormatting>
  <conditionalFormatting sqref="A142:A143">
    <cfRule type="cellIs" priority="549" dxfId="0" operator="greaterThan" stopIfTrue="1">
      <formula>"hoje()"</formula>
    </cfRule>
  </conditionalFormatting>
  <conditionalFormatting sqref="A142:A143">
    <cfRule type="cellIs" priority="548" dxfId="0" operator="greaterThan" stopIfTrue="1">
      <formula>"hoje()"</formula>
    </cfRule>
  </conditionalFormatting>
  <conditionalFormatting sqref="A142:A143">
    <cfRule type="cellIs" priority="547" dxfId="0" operator="greaterThan" stopIfTrue="1">
      <formula>"hoje()"</formula>
    </cfRule>
  </conditionalFormatting>
  <conditionalFormatting sqref="A142:A143">
    <cfRule type="cellIs" priority="546" dxfId="0" operator="greaterThan" stopIfTrue="1">
      <formula>"hoje()"</formula>
    </cfRule>
  </conditionalFormatting>
  <conditionalFormatting sqref="A142:A143">
    <cfRule type="cellIs" priority="545" dxfId="0" operator="greaterThan" stopIfTrue="1">
      <formula>"hoje()"</formula>
    </cfRule>
  </conditionalFormatting>
  <conditionalFormatting sqref="A142:A143">
    <cfRule type="cellIs" priority="544" dxfId="0" operator="greaterThan" stopIfTrue="1">
      <formula>"hoje()"</formula>
    </cfRule>
  </conditionalFormatting>
  <conditionalFormatting sqref="A142:A143">
    <cfRule type="cellIs" priority="543" dxfId="0" operator="greaterThan" stopIfTrue="1">
      <formula>"hoje()"</formula>
    </cfRule>
  </conditionalFormatting>
  <conditionalFormatting sqref="A142:A143">
    <cfRule type="cellIs" priority="542" dxfId="0" operator="greaterThan" stopIfTrue="1">
      <formula>"hoje()"</formula>
    </cfRule>
  </conditionalFormatting>
  <conditionalFormatting sqref="A142:A143">
    <cfRule type="cellIs" priority="541" dxfId="0" operator="greaterThan" stopIfTrue="1">
      <formula>"hoje()"</formula>
    </cfRule>
  </conditionalFormatting>
  <conditionalFormatting sqref="A142:A143">
    <cfRule type="cellIs" priority="540" dxfId="0" operator="greaterThan" stopIfTrue="1">
      <formula>"hoje()"</formula>
    </cfRule>
  </conditionalFormatting>
  <conditionalFormatting sqref="A142:A143">
    <cfRule type="cellIs" priority="539" dxfId="0" operator="greaterThan" stopIfTrue="1">
      <formula>"hoje()"</formula>
    </cfRule>
  </conditionalFormatting>
  <conditionalFormatting sqref="A142:A143">
    <cfRule type="cellIs" priority="538" dxfId="0" operator="greaterThan" stopIfTrue="1">
      <formula>"hoje()"</formula>
    </cfRule>
  </conditionalFormatting>
  <conditionalFormatting sqref="A142:A143">
    <cfRule type="cellIs" priority="537" dxfId="0" operator="greaterThan" stopIfTrue="1">
      <formula>"hoje()"</formula>
    </cfRule>
  </conditionalFormatting>
  <conditionalFormatting sqref="A142:A143">
    <cfRule type="cellIs" priority="536" dxfId="0" operator="greaterThan" stopIfTrue="1">
      <formula>"hoje()"</formula>
    </cfRule>
  </conditionalFormatting>
  <conditionalFormatting sqref="A142:A143">
    <cfRule type="cellIs" priority="535" dxfId="0" operator="greaterThan" stopIfTrue="1">
      <formula>"hoje()"</formula>
    </cfRule>
  </conditionalFormatting>
  <conditionalFormatting sqref="A142:A143">
    <cfRule type="cellIs" priority="534" dxfId="0" operator="greaterThan" stopIfTrue="1">
      <formula>"hoje()"</formula>
    </cfRule>
  </conditionalFormatting>
  <conditionalFormatting sqref="A142:A143">
    <cfRule type="cellIs" priority="533" dxfId="0" operator="greaterThan" stopIfTrue="1">
      <formula>"hoje()"</formula>
    </cfRule>
  </conditionalFormatting>
  <conditionalFormatting sqref="A142:A143">
    <cfRule type="cellIs" priority="532" dxfId="0" operator="greaterThan" stopIfTrue="1">
      <formula>"hoje()"</formula>
    </cfRule>
  </conditionalFormatting>
  <conditionalFormatting sqref="A142:A143">
    <cfRule type="cellIs" priority="531" dxfId="0" operator="greaterThan" stopIfTrue="1">
      <formula>"hoje()"</formula>
    </cfRule>
  </conditionalFormatting>
  <conditionalFormatting sqref="A142:A143">
    <cfRule type="cellIs" priority="530" dxfId="0" operator="greaterThan" stopIfTrue="1">
      <formula>"hoje()"</formula>
    </cfRule>
  </conditionalFormatting>
  <conditionalFormatting sqref="A142:A143">
    <cfRule type="cellIs" priority="529" dxfId="0" operator="greaterThan" stopIfTrue="1">
      <formula>"hoje()"</formula>
    </cfRule>
  </conditionalFormatting>
  <conditionalFormatting sqref="A142:A143">
    <cfRule type="cellIs" priority="528" dxfId="0" operator="greaterThan" stopIfTrue="1">
      <formula>"hoje()"</formula>
    </cfRule>
  </conditionalFormatting>
  <conditionalFormatting sqref="A142:A143">
    <cfRule type="cellIs" priority="527" dxfId="0" operator="greaterThan" stopIfTrue="1">
      <formula>"hoje()"</formula>
    </cfRule>
  </conditionalFormatting>
  <conditionalFormatting sqref="A142:A143">
    <cfRule type="cellIs" priority="526" dxfId="0" operator="greaterThan" stopIfTrue="1">
      <formula>"hoje()"</formula>
    </cfRule>
  </conditionalFormatting>
  <conditionalFormatting sqref="A142:A143">
    <cfRule type="cellIs" priority="525" dxfId="0" operator="greaterThan" stopIfTrue="1">
      <formula>"hoje()"</formula>
    </cfRule>
  </conditionalFormatting>
  <conditionalFormatting sqref="A142:A143">
    <cfRule type="cellIs" priority="524" dxfId="0" operator="greaterThan" stopIfTrue="1">
      <formula>"hoje()"</formula>
    </cfRule>
  </conditionalFormatting>
  <conditionalFormatting sqref="A142:A143">
    <cfRule type="cellIs" priority="523" dxfId="0" operator="greaterThan" stopIfTrue="1">
      <formula>"hoje()"</formula>
    </cfRule>
  </conditionalFormatting>
  <conditionalFormatting sqref="A142:A143">
    <cfRule type="cellIs" priority="522" dxfId="0" operator="greaterThan" stopIfTrue="1">
      <formula>"hoje()"</formula>
    </cfRule>
  </conditionalFormatting>
  <conditionalFormatting sqref="A142:A143">
    <cfRule type="cellIs" priority="521" dxfId="0" operator="greaterThan" stopIfTrue="1">
      <formula>"hoje()"</formula>
    </cfRule>
  </conditionalFormatting>
  <conditionalFormatting sqref="A142:A143">
    <cfRule type="cellIs" priority="520" dxfId="0" operator="greaterThan" stopIfTrue="1">
      <formula>"hoje()"</formula>
    </cfRule>
  </conditionalFormatting>
  <conditionalFormatting sqref="A142:A143">
    <cfRule type="cellIs" priority="519" dxfId="0" operator="greaterThan" stopIfTrue="1">
      <formula>"hoje()"</formula>
    </cfRule>
  </conditionalFormatting>
  <conditionalFormatting sqref="A142:A143">
    <cfRule type="cellIs" priority="518" dxfId="0" operator="greaterThan" stopIfTrue="1">
      <formula>"hoje()"</formula>
    </cfRule>
  </conditionalFormatting>
  <conditionalFormatting sqref="A142:A143">
    <cfRule type="cellIs" priority="517" dxfId="0" operator="greaterThan" stopIfTrue="1">
      <formula>"hoje()"</formula>
    </cfRule>
  </conditionalFormatting>
  <conditionalFormatting sqref="A142:A143">
    <cfRule type="cellIs" priority="516" dxfId="0" operator="greaterThan" stopIfTrue="1">
      <formula>"hoje()"</formula>
    </cfRule>
  </conditionalFormatting>
  <conditionalFormatting sqref="A142:A143">
    <cfRule type="cellIs" priority="515" dxfId="0" operator="greaterThan" stopIfTrue="1">
      <formula>"hoje()"</formula>
    </cfRule>
  </conditionalFormatting>
  <conditionalFormatting sqref="A144 A146:A147 A149">
    <cfRule type="cellIs" priority="514" dxfId="0" operator="greaterThan" stopIfTrue="1">
      <formula>"hoje()"</formula>
    </cfRule>
  </conditionalFormatting>
  <conditionalFormatting sqref="A144 A146:A147 A149">
    <cfRule type="cellIs" priority="513" dxfId="0" operator="greaterThan" stopIfTrue="1">
      <formula>"hoje()"</formula>
    </cfRule>
  </conditionalFormatting>
  <conditionalFormatting sqref="A144 A146:A147 A149">
    <cfRule type="cellIs" priority="512" dxfId="0" operator="greaterThan" stopIfTrue="1">
      <formula>"hoje()"</formula>
    </cfRule>
  </conditionalFormatting>
  <conditionalFormatting sqref="A144 A146:A147 A149">
    <cfRule type="cellIs" priority="511" dxfId="0" operator="greaterThan" stopIfTrue="1">
      <formula>"hoje()"</formula>
    </cfRule>
  </conditionalFormatting>
  <conditionalFormatting sqref="A144 A146:A147 A149">
    <cfRule type="cellIs" priority="510" dxfId="0" operator="greaterThan" stopIfTrue="1">
      <formula>"hoje()"</formula>
    </cfRule>
  </conditionalFormatting>
  <conditionalFormatting sqref="A144 A146:A147 A149">
    <cfRule type="cellIs" priority="509" dxfId="0" operator="greaterThan" stopIfTrue="1">
      <formula>"hoje()"</formula>
    </cfRule>
  </conditionalFormatting>
  <conditionalFormatting sqref="A144 A146:A147 A149">
    <cfRule type="cellIs" priority="508" dxfId="0" operator="greaterThan" stopIfTrue="1">
      <formula>"hoje()"</formula>
    </cfRule>
  </conditionalFormatting>
  <conditionalFormatting sqref="A144 A146:A147 A149">
    <cfRule type="cellIs" priority="507" dxfId="0" operator="greaterThan" stopIfTrue="1">
      <formula>"hoje()"</formula>
    </cfRule>
  </conditionalFormatting>
  <conditionalFormatting sqref="A144 A146:A147 A149">
    <cfRule type="cellIs" priority="506" dxfId="0" operator="greaterThan" stopIfTrue="1">
      <formula>"hoje()"</formula>
    </cfRule>
  </conditionalFormatting>
  <conditionalFormatting sqref="A144 A146:A147 A149">
    <cfRule type="cellIs" priority="505" dxfId="0" operator="greaterThan" stopIfTrue="1">
      <formula>"hoje()"</formula>
    </cfRule>
  </conditionalFormatting>
  <conditionalFormatting sqref="A144 A146:A147 A149">
    <cfRule type="cellIs" priority="504" dxfId="0" operator="greaterThan" stopIfTrue="1">
      <formula>"hoje()"</formula>
    </cfRule>
  </conditionalFormatting>
  <conditionalFormatting sqref="A144 A146:A147 A149">
    <cfRule type="cellIs" priority="503" dxfId="0" operator="greaterThan" stopIfTrue="1">
      <formula>"hoje()"</formula>
    </cfRule>
  </conditionalFormatting>
  <conditionalFormatting sqref="A144 A146:A147 A149">
    <cfRule type="cellIs" priority="502" dxfId="0" operator="greaterThan" stopIfTrue="1">
      <formula>"hoje()"</formula>
    </cfRule>
  </conditionalFormatting>
  <conditionalFormatting sqref="A144 A146:A147 A149">
    <cfRule type="cellIs" priority="501" dxfId="0" operator="greaterThan" stopIfTrue="1">
      <formula>"hoje()"</formula>
    </cfRule>
  </conditionalFormatting>
  <conditionalFormatting sqref="A144 A146:A147 A149">
    <cfRule type="cellIs" priority="500" dxfId="0" operator="greaterThan" stopIfTrue="1">
      <formula>"hoje()"</formula>
    </cfRule>
  </conditionalFormatting>
  <conditionalFormatting sqref="A144 A146:A147 A149">
    <cfRule type="cellIs" priority="499" dxfId="0" operator="greaterThan" stopIfTrue="1">
      <formula>"hoje()"</formula>
    </cfRule>
  </conditionalFormatting>
  <conditionalFormatting sqref="A144 A146:A147 A149">
    <cfRule type="cellIs" priority="498" dxfId="0" operator="greaterThan" stopIfTrue="1">
      <formula>"hoje()"</formula>
    </cfRule>
  </conditionalFormatting>
  <conditionalFormatting sqref="A144 A146:A147 A149">
    <cfRule type="cellIs" priority="497" dxfId="0" operator="greaterThan" stopIfTrue="1">
      <formula>"hoje()"</formula>
    </cfRule>
  </conditionalFormatting>
  <conditionalFormatting sqref="A144 A146:A147 A149">
    <cfRule type="cellIs" priority="496" dxfId="0" operator="greaterThan" stopIfTrue="1">
      <formula>"hoje()"</formula>
    </cfRule>
  </conditionalFormatting>
  <conditionalFormatting sqref="A144 A146:A147 A149">
    <cfRule type="cellIs" priority="495" dxfId="0" operator="greaterThan" stopIfTrue="1">
      <formula>"hoje()"</formula>
    </cfRule>
  </conditionalFormatting>
  <conditionalFormatting sqref="A144 A146:A147 A149">
    <cfRule type="cellIs" priority="494" dxfId="0" operator="greaterThan" stopIfTrue="1">
      <formula>"hoje()"</formula>
    </cfRule>
  </conditionalFormatting>
  <conditionalFormatting sqref="A144 A146:A147 A149">
    <cfRule type="cellIs" priority="493" dxfId="0" operator="greaterThan" stopIfTrue="1">
      <formula>"hoje()"</formula>
    </cfRule>
  </conditionalFormatting>
  <conditionalFormatting sqref="A144 A146:A147 A149">
    <cfRule type="cellIs" priority="492" dxfId="0" operator="greaterThan" stopIfTrue="1">
      <formula>"hoje()"</formula>
    </cfRule>
  </conditionalFormatting>
  <conditionalFormatting sqref="A144 A146:A147 A149">
    <cfRule type="cellIs" priority="491" dxfId="0" operator="greaterThan" stopIfTrue="1">
      <formula>"hoje()"</formula>
    </cfRule>
  </conditionalFormatting>
  <conditionalFormatting sqref="A144 A146:A147 A149">
    <cfRule type="cellIs" priority="490" dxfId="0" operator="greaterThan" stopIfTrue="1">
      <formula>"hoje()"</formula>
    </cfRule>
  </conditionalFormatting>
  <conditionalFormatting sqref="A144 A146:A147 A149">
    <cfRule type="cellIs" priority="489" dxfId="0" operator="greaterThan" stopIfTrue="1">
      <formula>"hoje()"</formula>
    </cfRule>
  </conditionalFormatting>
  <conditionalFormatting sqref="A144 A146:A147 A149">
    <cfRule type="cellIs" priority="488" dxfId="0" operator="greaterThan" stopIfTrue="1">
      <formula>"hoje()"</formula>
    </cfRule>
  </conditionalFormatting>
  <conditionalFormatting sqref="A144 A146:A147 A149">
    <cfRule type="cellIs" priority="487" dxfId="0" operator="greaterThan" stopIfTrue="1">
      <formula>"hoje()"</formula>
    </cfRule>
  </conditionalFormatting>
  <conditionalFormatting sqref="A144 A146:A147 A149">
    <cfRule type="cellIs" priority="486" dxfId="0" operator="greaterThan" stopIfTrue="1">
      <formula>"hoje()"</formula>
    </cfRule>
  </conditionalFormatting>
  <conditionalFormatting sqref="A144 A146:A147 A149">
    <cfRule type="cellIs" priority="485" dxfId="0" operator="greaterThan" stopIfTrue="1">
      <formula>"hoje()"</formula>
    </cfRule>
  </conditionalFormatting>
  <conditionalFormatting sqref="A144 A146:A147 A149">
    <cfRule type="cellIs" priority="484" dxfId="0" operator="greaterThan" stopIfTrue="1">
      <formula>"hoje()"</formula>
    </cfRule>
  </conditionalFormatting>
  <conditionalFormatting sqref="A144 A146:A147 A149">
    <cfRule type="cellIs" priority="483" dxfId="0" operator="greaterThan" stopIfTrue="1">
      <formula>"hoje()"</formula>
    </cfRule>
  </conditionalFormatting>
  <conditionalFormatting sqref="A144 A146:A147 A149">
    <cfRule type="cellIs" priority="482" dxfId="0" operator="greaterThan" stopIfTrue="1">
      <formula>"hoje()"</formula>
    </cfRule>
  </conditionalFormatting>
  <conditionalFormatting sqref="A144 A146:A147 A149">
    <cfRule type="cellIs" priority="481" dxfId="0" operator="greaterThan" stopIfTrue="1">
      <formula>"hoje()"</formula>
    </cfRule>
  </conditionalFormatting>
  <conditionalFormatting sqref="A144 A146:A147 A149">
    <cfRule type="cellIs" priority="480" dxfId="0" operator="greaterThan" stopIfTrue="1">
      <formula>"hoje()"</formula>
    </cfRule>
  </conditionalFormatting>
  <conditionalFormatting sqref="A144 A146:A147 A149">
    <cfRule type="cellIs" priority="479" dxfId="0" operator="greaterThan" stopIfTrue="1">
      <formula>"hoje()"</formula>
    </cfRule>
  </conditionalFormatting>
  <conditionalFormatting sqref="A144 A146:A147 A149">
    <cfRule type="cellIs" priority="478" dxfId="0" operator="greaterThan" stopIfTrue="1">
      <formula>"hoje()"</formula>
    </cfRule>
  </conditionalFormatting>
  <conditionalFormatting sqref="A144 A146:A147 A149">
    <cfRule type="cellIs" priority="477" dxfId="0" operator="greaterThan" stopIfTrue="1">
      <formula>"hoje()"</formula>
    </cfRule>
  </conditionalFormatting>
  <conditionalFormatting sqref="A144 A146:A147 A149">
    <cfRule type="cellIs" priority="476" dxfId="0" operator="greaterThan" stopIfTrue="1">
      <formula>"hoje()"</formula>
    </cfRule>
  </conditionalFormatting>
  <conditionalFormatting sqref="A144 A146:A147 A149">
    <cfRule type="cellIs" priority="475" dxfId="0" operator="greaterThan" stopIfTrue="1">
      <formula>"hoje()"</formula>
    </cfRule>
  </conditionalFormatting>
  <conditionalFormatting sqref="A144 A146:A147 A149">
    <cfRule type="cellIs" priority="474" dxfId="0" operator="greaterThan" stopIfTrue="1">
      <formula>"hoje()"</formula>
    </cfRule>
  </conditionalFormatting>
  <conditionalFormatting sqref="A144 A146:A147 A149">
    <cfRule type="cellIs" priority="473" dxfId="0" operator="greaterThan" stopIfTrue="1">
      <formula>"hoje()"</formula>
    </cfRule>
  </conditionalFormatting>
  <conditionalFormatting sqref="A144 A146:A147 A149">
    <cfRule type="cellIs" priority="472" dxfId="0" operator="greaterThan" stopIfTrue="1">
      <formula>"hoje()"</formula>
    </cfRule>
  </conditionalFormatting>
  <conditionalFormatting sqref="A144 A146:A147 A149">
    <cfRule type="cellIs" priority="471" dxfId="0" operator="greaterThan" stopIfTrue="1">
      <formula>"hoje()"</formula>
    </cfRule>
  </conditionalFormatting>
  <conditionalFormatting sqref="A144 A146:A147 A149">
    <cfRule type="cellIs" priority="470" dxfId="0" operator="greaterThan" stopIfTrue="1">
      <formula>"hoje()"</formula>
    </cfRule>
  </conditionalFormatting>
  <conditionalFormatting sqref="A144 A146:A147 A149">
    <cfRule type="cellIs" priority="469" dxfId="0" operator="greaterThan" stopIfTrue="1">
      <formula>"hoje()"</formula>
    </cfRule>
  </conditionalFormatting>
  <conditionalFormatting sqref="A144 A146:A147 A149">
    <cfRule type="cellIs" priority="468" dxfId="0" operator="greaterThan" stopIfTrue="1">
      <formula>"hoje()"</formula>
    </cfRule>
  </conditionalFormatting>
  <conditionalFormatting sqref="A144 A146:A147 A149">
    <cfRule type="cellIs" priority="467" dxfId="0" operator="greaterThan" stopIfTrue="1">
      <formula>"hoje()"</formula>
    </cfRule>
  </conditionalFormatting>
  <conditionalFormatting sqref="A144 A146:A147 A149">
    <cfRule type="cellIs" priority="466" dxfId="0" operator="greaterThan" stopIfTrue="1">
      <formula>"hoje()"</formula>
    </cfRule>
  </conditionalFormatting>
  <conditionalFormatting sqref="A144 A146:A147 A149">
    <cfRule type="cellIs" priority="465" dxfId="0" operator="greaterThan" stopIfTrue="1">
      <formula>"hoje()"</formula>
    </cfRule>
  </conditionalFormatting>
  <conditionalFormatting sqref="A144 A146:A147 A149">
    <cfRule type="cellIs" priority="464" dxfId="0" operator="greaterThan" stopIfTrue="1">
      <formula>"hoje()"</formula>
    </cfRule>
  </conditionalFormatting>
  <conditionalFormatting sqref="A144 A146:A147 A149">
    <cfRule type="cellIs" priority="463" dxfId="0" operator="greaterThan" stopIfTrue="1">
      <formula>"hoje()"</formula>
    </cfRule>
  </conditionalFormatting>
  <conditionalFormatting sqref="A144 A146:A147 A149">
    <cfRule type="cellIs" priority="462" dxfId="0" operator="greaterThan" stopIfTrue="1">
      <formula>"hoje()"</formula>
    </cfRule>
  </conditionalFormatting>
  <conditionalFormatting sqref="A144 A146:A147 A149">
    <cfRule type="cellIs" priority="461" dxfId="0" operator="greaterThan" stopIfTrue="1">
      <formula>"hoje()"</formula>
    </cfRule>
  </conditionalFormatting>
  <conditionalFormatting sqref="A144 A146:A147 A149">
    <cfRule type="cellIs" priority="460" dxfId="0" operator="greaterThan" stopIfTrue="1">
      <formula>"hoje()"</formula>
    </cfRule>
  </conditionalFormatting>
  <conditionalFormatting sqref="A144 A146:A147 A149">
    <cfRule type="cellIs" priority="459" dxfId="0" operator="greaterThan" stopIfTrue="1">
      <formula>"hoje()"</formula>
    </cfRule>
  </conditionalFormatting>
  <conditionalFormatting sqref="A145 A148">
    <cfRule type="cellIs" priority="458" dxfId="0" operator="greaterThan" stopIfTrue="1">
      <formula>"hoje()"</formula>
    </cfRule>
  </conditionalFormatting>
  <conditionalFormatting sqref="A145 A148">
    <cfRule type="cellIs" priority="457" dxfId="0" operator="greaterThan" stopIfTrue="1">
      <formula>"hoje()"</formula>
    </cfRule>
  </conditionalFormatting>
  <conditionalFormatting sqref="A145 A148">
    <cfRule type="cellIs" priority="456" dxfId="0" operator="greaterThan" stopIfTrue="1">
      <formula>"hoje()"</formula>
    </cfRule>
  </conditionalFormatting>
  <conditionalFormatting sqref="A145 A148">
    <cfRule type="cellIs" priority="455" dxfId="0" operator="greaterThan" stopIfTrue="1">
      <formula>"hoje()"</formula>
    </cfRule>
  </conditionalFormatting>
  <conditionalFormatting sqref="A145 A148">
    <cfRule type="cellIs" priority="454" dxfId="0" operator="greaterThan" stopIfTrue="1">
      <formula>"hoje()"</formula>
    </cfRule>
  </conditionalFormatting>
  <conditionalFormatting sqref="A145 A148">
    <cfRule type="cellIs" priority="453" dxfId="0" operator="greaterThan" stopIfTrue="1">
      <formula>"hoje()"</formula>
    </cfRule>
  </conditionalFormatting>
  <conditionalFormatting sqref="A145 A148">
    <cfRule type="cellIs" priority="452" dxfId="0" operator="greaterThan" stopIfTrue="1">
      <formula>"hoje()"</formula>
    </cfRule>
  </conditionalFormatting>
  <conditionalFormatting sqref="A145 A148">
    <cfRule type="cellIs" priority="451" dxfId="0" operator="greaterThan" stopIfTrue="1">
      <formula>"hoje()"</formula>
    </cfRule>
  </conditionalFormatting>
  <conditionalFormatting sqref="A145 A148">
    <cfRule type="cellIs" priority="450" dxfId="0" operator="greaterThan" stopIfTrue="1">
      <formula>"hoje()"</formula>
    </cfRule>
  </conditionalFormatting>
  <conditionalFormatting sqref="A145 A148">
    <cfRule type="cellIs" priority="449" dxfId="0" operator="greaterThan" stopIfTrue="1">
      <formula>"hoje()"</formula>
    </cfRule>
  </conditionalFormatting>
  <conditionalFormatting sqref="A145 A148">
    <cfRule type="cellIs" priority="448" dxfId="0" operator="greaterThan" stopIfTrue="1">
      <formula>"hoje()"</formula>
    </cfRule>
  </conditionalFormatting>
  <conditionalFormatting sqref="A145 A148">
    <cfRule type="cellIs" priority="447" dxfId="0" operator="greaterThan" stopIfTrue="1">
      <formula>"hoje()"</formula>
    </cfRule>
  </conditionalFormatting>
  <conditionalFormatting sqref="A145 A148">
    <cfRule type="cellIs" priority="446" dxfId="0" operator="greaterThan" stopIfTrue="1">
      <formula>"hoje()"</formula>
    </cfRule>
  </conditionalFormatting>
  <conditionalFormatting sqref="A145 A148">
    <cfRule type="cellIs" priority="445" dxfId="0" operator="greaterThan" stopIfTrue="1">
      <formula>"hoje()"</formula>
    </cfRule>
  </conditionalFormatting>
  <conditionalFormatting sqref="A145 A148">
    <cfRule type="cellIs" priority="444" dxfId="0" operator="greaterThan" stopIfTrue="1">
      <formula>"hoje()"</formula>
    </cfRule>
  </conditionalFormatting>
  <conditionalFormatting sqref="A145 A148">
    <cfRule type="cellIs" priority="443" dxfId="0" operator="greaterThan" stopIfTrue="1">
      <formula>"hoje()"</formula>
    </cfRule>
  </conditionalFormatting>
  <conditionalFormatting sqref="A145 A148">
    <cfRule type="cellIs" priority="442" dxfId="0" operator="greaterThan" stopIfTrue="1">
      <formula>"hoje()"</formula>
    </cfRule>
  </conditionalFormatting>
  <conditionalFormatting sqref="A145 A148">
    <cfRule type="cellIs" priority="441" dxfId="0" operator="greaterThan" stopIfTrue="1">
      <formula>"hoje()"</formula>
    </cfRule>
  </conditionalFormatting>
  <conditionalFormatting sqref="A145 A148">
    <cfRule type="cellIs" priority="440" dxfId="0" operator="greaterThan" stopIfTrue="1">
      <formula>"hoje()"</formula>
    </cfRule>
  </conditionalFormatting>
  <conditionalFormatting sqref="A145 A148">
    <cfRule type="cellIs" priority="439" dxfId="0" operator="greaterThan" stopIfTrue="1">
      <formula>"hoje()"</formula>
    </cfRule>
  </conditionalFormatting>
  <conditionalFormatting sqref="A145 A148">
    <cfRule type="cellIs" priority="438" dxfId="0" operator="greaterThan" stopIfTrue="1">
      <formula>"hoje()"</formula>
    </cfRule>
  </conditionalFormatting>
  <conditionalFormatting sqref="A145 A148">
    <cfRule type="cellIs" priority="437" dxfId="0" operator="greaterThan" stopIfTrue="1">
      <formula>"hoje()"</formula>
    </cfRule>
  </conditionalFormatting>
  <conditionalFormatting sqref="A145 A148">
    <cfRule type="cellIs" priority="436" dxfId="0" operator="greaterThan" stopIfTrue="1">
      <formula>"hoje()"</formula>
    </cfRule>
  </conditionalFormatting>
  <conditionalFormatting sqref="A145 A148">
    <cfRule type="cellIs" priority="435" dxfId="0" operator="greaterThan" stopIfTrue="1">
      <formula>"hoje()"</formula>
    </cfRule>
  </conditionalFormatting>
  <conditionalFormatting sqref="A145 A148">
    <cfRule type="cellIs" priority="434" dxfId="0" operator="greaterThan" stopIfTrue="1">
      <formula>"hoje()"</formula>
    </cfRule>
  </conditionalFormatting>
  <conditionalFormatting sqref="A145 A148">
    <cfRule type="cellIs" priority="433" dxfId="0" operator="greaterThan" stopIfTrue="1">
      <formula>"hoje()"</formula>
    </cfRule>
  </conditionalFormatting>
  <conditionalFormatting sqref="A145 A148">
    <cfRule type="cellIs" priority="432" dxfId="0" operator="greaterThan" stopIfTrue="1">
      <formula>"hoje()"</formula>
    </cfRule>
  </conditionalFormatting>
  <conditionalFormatting sqref="A145 A148">
    <cfRule type="cellIs" priority="431" dxfId="0" operator="greaterThan" stopIfTrue="1">
      <formula>"hoje()"</formula>
    </cfRule>
  </conditionalFormatting>
  <conditionalFormatting sqref="A145 A148">
    <cfRule type="cellIs" priority="430" dxfId="0" operator="greaterThan" stopIfTrue="1">
      <formula>"hoje()"</formula>
    </cfRule>
  </conditionalFormatting>
  <conditionalFormatting sqref="A145 A148">
    <cfRule type="cellIs" priority="429" dxfId="0" operator="greaterThan" stopIfTrue="1">
      <formula>"hoje()"</formula>
    </cfRule>
  </conditionalFormatting>
  <conditionalFormatting sqref="A145 A148">
    <cfRule type="cellIs" priority="428" dxfId="0" operator="greaterThan" stopIfTrue="1">
      <formula>"hoje()"</formula>
    </cfRule>
  </conditionalFormatting>
  <conditionalFormatting sqref="A145 A148">
    <cfRule type="cellIs" priority="427" dxfId="0" operator="greaterThan" stopIfTrue="1">
      <formula>"hoje()"</formula>
    </cfRule>
  </conditionalFormatting>
  <conditionalFormatting sqref="A145 A148">
    <cfRule type="cellIs" priority="426" dxfId="0" operator="greaterThan" stopIfTrue="1">
      <formula>"hoje()"</formula>
    </cfRule>
  </conditionalFormatting>
  <conditionalFormatting sqref="A145 A148">
    <cfRule type="cellIs" priority="425" dxfId="0" operator="greaterThan" stopIfTrue="1">
      <formula>"hoje()"</formula>
    </cfRule>
  </conditionalFormatting>
  <conditionalFormatting sqref="A145 A148">
    <cfRule type="cellIs" priority="424" dxfId="0" operator="greaterThan" stopIfTrue="1">
      <formula>"hoje()"</formula>
    </cfRule>
  </conditionalFormatting>
  <conditionalFormatting sqref="A145 A148">
    <cfRule type="cellIs" priority="423" dxfId="0" operator="greaterThan" stopIfTrue="1">
      <formula>"hoje()"</formula>
    </cfRule>
  </conditionalFormatting>
  <conditionalFormatting sqref="A145 A148">
    <cfRule type="cellIs" priority="422" dxfId="0" operator="greaterThan" stopIfTrue="1">
      <formula>"hoje()"</formula>
    </cfRule>
  </conditionalFormatting>
  <conditionalFormatting sqref="A145 A148">
    <cfRule type="cellIs" priority="421" dxfId="0" operator="greaterThan" stopIfTrue="1">
      <formula>"hoje()"</formula>
    </cfRule>
  </conditionalFormatting>
  <conditionalFormatting sqref="A145 A148">
    <cfRule type="cellIs" priority="420" dxfId="0" operator="greaterThan" stopIfTrue="1">
      <formula>"hoje()"</formula>
    </cfRule>
  </conditionalFormatting>
  <conditionalFormatting sqref="A145 A148">
    <cfRule type="cellIs" priority="419" dxfId="0" operator="greaterThan" stopIfTrue="1">
      <formula>"hoje()"</formula>
    </cfRule>
  </conditionalFormatting>
  <conditionalFormatting sqref="A145 A148">
    <cfRule type="cellIs" priority="418" dxfId="0" operator="greaterThan" stopIfTrue="1">
      <formula>"hoje()"</formula>
    </cfRule>
  </conditionalFormatting>
  <conditionalFormatting sqref="A145 A148">
    <cfRule type="cellIs" priority="417" dxfId="0" operator="greaterThan" stopIfTrue="1">
      <formula>"hoje()"</formula>
    </cfRule>
  </conditionalFormatting>
  <conditionalFormatting sqref="A145 A148">
    <cfRule type="cellIs" priority="416" dxfId="0" operator="greaterThan" stopIfTrue="1">
      <formula>"hoje()"</formula>
    </cfRule>
  </conditionalFormatting>
  <conditionalFormatting sqref="A145 A148">
    <cfRule type="cellIs" priority="415" dxfId="0" operator="greaterThan" stopIfTrue="1">
      <formula>"hoje()"</formula>
    </cfRule>
  </conditionalFormatting>
  <conditionalFormatting sqref="A145 A148">
    <cfRule type="cellIs" priority="414" dxfId="0" operator="greaterThan" stopIfTrue="1">
      <formula>"hoje()"</formula>
    </cfRule>
  </conditionalFormatting>
  <conditionalFormatting sqref="A145 A148">
    <cfRule type="cellIs" priority="413" dxfId="0" operator="greaterThan" stopIfTrue="1">
      <formula>"hoje()"</formula>
    </cfRule>
  </conditionalFormatting>
  <conditionalFormatting sqref="A145 A148">
    <cfRule type="cellIs" priority="412" dxfId="0" operator="greaterThan" stopIfTrue="1">
      <formula>"hoje()"</formula>
    </cfRule>
  </conditionalFormatting>
  <conditionalFormatting sqref="A145 A148">
    <cfRule type="cellIs" priority="411" dxfId="0" operator="greaterThan" stopIfTrue="1">
      <formula>"hoje()"</formula>
    </cfRule>
  </conditionalFormatting>
  <conditionalFormatting sqref="A145 A148">
    <cfRule type="cellIs" priority="410" dxfId="0" operator="greaterThan" stopIfTrue="1">
      <formula>"hoje()"</formula>
    </cfRule>
  </conditionalFormatting>
  <conditionalFormatting sqref="A145 A148">
    <cfRule type="cellIs" priority="409" dxfId="0" operator="greaterThan" stopIfTrue="1">
      <formula>"hoje()"</formula>
    </cfRule>
  </conditionalFormatting>
  <conditionalFormatting sqref="A145 A148">
    <cfRule type="cellIs" priority="408" dxfId="0" operator="greaterThan" stopIfTrue="1">
      <formula>"hoje()"</formula>
    </cfRule>
  </conditionalFormatting>
  <conditionalFormatting sqref="A145 A148">
    <cfRule type="cellIs" priority="407" dxfId="0" operator="greaterThan" stopIfTrue="1">
      <formula>"hoje()"</formula>
    </cfRule>
  </conditionalFormatting>
  <conditionalFormatting sqref="A145 A148">
    <cfRule type="cellIs" priority="406" dxfId="0" operator="greaterThan" stopIfTrue="1">
      <formula>"hoje()"</formula>
    </cfRule>
  </conditionalFormatting>
  <conditionalFormatting sqref="A145 A148">
    <cfRule type="cellIs" priority="405" dxfId="0" operator="greaterThan" stopIfTrue="1">
      <formula>"hoje()"</formula>
    </cfRule>
  </conditionalFormatting>
  <conditionalFormatting sqref="A145 A148">
    <cfRule type="cellIs" priority="404" dxfId="0" operator="greaterThan" stopIfTrue="1">
      <formula>"hoje()"</formula>
    </cfRule>
  </conditionalFormatting>
  <conditionalFormatting sqref="A145 A148">
    <cfRule type="cellIs" priority="403" dxfId="0" operator="greaterThan" stopIfTrue="1">
      <formula>"hoje()"</formula>
    </cfRule>
  </conditionalFormatting>
  <conditionalFormatting sqref="A145 A148">
    <cfRule type="cellIs" priority="402" dxfId="0" operator="greaterThan" stopIfTrue="1">
      <formula>"hoje()"</formula>
    </cfRule>
  </conditionalFormatting>
  <conditionalFormatting sqref="A145 A148">
    <cfRule type="cellIs" priority="401" dxfId="0" operator="greaterThan" stopIfTrue="1">
      <formula>"hoje()"</formula>
    </cfRule>
  </conditionalFormatting>
  <conditionalFormatting sqref="A145 A148">
    <cfRule type="cellIs" priority="400" dxfId="0" operator="greaterThan" stopIfTrue="1">
      <formula>"hoje()"</formula>
    </cfRule>
  </conditionalFormatting>
  <conditionalFormatting sqref="A145 A148">
    <cfRule type="cellIs" priority="399" dxfId="0" operator="greaterThan" stopIfTrue="1">
      <formula>"hoje()"</formula>
    </cfRule>
  </conditionalFormatting>
  <conditionalFormatting sqref="A145 A148">
    <cfRule type="cellIs" priority="398" dxfId="0" operator="greaterThan" stopIfTrue="1">
      <formula>"hoje()"</formula>
    </cfRule>
  </conditionalFormatting>
  <conditionalFormatting sqref="A145 A148">
    <cfRule type="cellIs" priority="397" dxfId="0" operator="greaterThan" stopIfTrue="1">
      <formula>"hoje()"</formula>
    </cfRule>
  </conditionalFormatting>
  <conditionalFormatting sqref="A146">
    <cfRule type="cellIs" priority="396" dxfId="0" operator="greaterThan" stopIfTrue="1">
      <formula>"hoje()"</formula>
    </cfRule>
  </conditionalFormatting>
  <conditionalFormatting sqref="A146">
    <cfRule type="cellIs" priority="395" dxfId="0" operator="greaterThan" stopIfTrue="1">
      <formula>"hoje()"</formula>
    </cfRule>
  </conditionalFormatting>
  <conditionalFormatting sqref="A146">
    <cfRule type="cellIs" priority="394" dxfId="0" operator="greaterThan" stopIfTrue="1">
      <formula>"hoje()"</formula>
    </cfRule>
  </conditionalFormatting>
  <conditionalFormatting sqref="A146">
    <cfRule type="cellIs" priority="393" dxfId="0" operator="greaterThan" stopIfTrue="1">
      <formula>"hoje()"</formula>
    </cfRule>
  </conditionalFormatting>
  <conditionalFormatting sqref="A146">
    <cfRule type="cellIs" priority="392" dxfId="0" operator="greaterThan" stopIfTrue="1">
      <formula>"hoje()"</formula>
    </cfRule>
  </conditionalFormatting>
  <conditionalFormatting sqref="A146">
    <cfRule type="cellIs" priority="391" dxfId="0" operator="greaterThan" stopIfTrue="1">
      <formula>"hoje()"</formula>
    </cfRule>
  </conditionalFormatting>
  <conditionalFormatting sqref="A146">
    <cfRule type="cellIs" priority="390" dxfId="0" operator="greaterThan" stopIfTrue="1">
      <formula>"hoje()"</formula>
    </cfRule>
  </conditionalFormatting>
  <conditionalFormatting sqref="A146">
    <cfRule type="cellIs" priority="389" dxfId="0" operator="greaterThan" stopIfTrue="1">
      <formula>"hoje()"</formula>
    </cfRule>
  </conditionalFormatting>
  <conditionalFormatting sqref="A146">
    <cfRule type="cellIs" priority="388" dxfId="0" operator="greaterThan" stopIfTrue="1">
      <formula>"hoje()"</formula>
    </cfRule>
  </conditionalFormatting>
  <conditionalFormatting sqref="A146">
    <cfRule type="cellIs" priority="387" dxfId="0" operator="greaterThan" stopIfTrue="1">
      <formula>"hoje()"</formula>
    </cfRule>
  </conditionalFormatting>
  <conditionalFormatting sqref="A146">
    <cfRule type="cellIs" priority="386" dxfId="0" operator="greaterThan" stopIfTrue="1">
      <formula>"hoje()"</formula>
    </cfRule>
  </conditionalFormatting>
  <conditionalFormatting sqref="A146">
    <cfRule type="cellIs" priority="385" dxfId="0" operator="greaterThan" stopIfTrue="1">
      <formula>"hoje()"</formula>
    </cfRule>
  </conditionalFormatting>
  <conditionalFormatting sqref="A146">
    <cfRule type="cellIs" priority="384" dxfId="0" operator="greaterThan" stopIfTrue="1">
      <formula>"hoje()"</formula>
    </cfRule>
  </conditionalFormatting>
  <conditionalFormatting sqref="A146">
    <cfRule type="cellIs" priority="383" dxfId="0" operator="greaterThan" stopIfTrue="1">
      <formula>"hoje()"</formula>
    </cfRule>
  </conditionalFormatting>
  <conditionalFormatting sqref="A146">
    <cfRule type="cellIs" priority="382" dxfId="0" operator="greaterThan" stopIfTrue="1">
      <formula>"hoje()"</formula>
    </cfRule>
  </conditionalFormatting>
  <conditionalFormatting sqref="A146">
    <cfRule type="cellIs" priority="381" dxfId="0" operator="greaterThan" stopIfTrue="1">
      <formula>"hoje()"</formula>
    </cfRule>
  </conditionalFormatting>
  <conditionalFormatting sqref="A146">
    <cfRule type="cellIs" priority="380" dxfId="0" operator="greaterThan" stopIfTrue="1">
      <formula>"hoje()"</formula>
    </cfRule>
  </conditionalFormatting>
  <conditionalFormatting sqref="A146">
    <cfRule type="cellIs" priority="379" dxfId="0" operator="greaterThan" stopIfTrue="1">
      <formula>"hoje()"</formula>
    </cfRule>
  </conditionalFormatting>
  <conditionalFormatting sqref="A146">
    <cfRule type="cellIs" priority="378" dxfId="0" operator="greaterThan" stopIfTrue="1">
      <formula>"hoje()"</formula>
    </cfRule>
  </conditionalFormatting>
  <conditionalFormatting sqref="A146">
    <cfRule type="cellIs" priority="377" dxfId="0" operator="greaterThan" stopIfTrue="1">
      <formula>"hoje()"</formula>
    </cfRule>
  </conditionalFormatting>
  <conditionalFormatting sqref="A146">
    <cfRule type="cellIs" priority="376" dxfId="0" operator="greaterThan" stopIfTrue="1">
      <formula>"hoje()"</formula>
    </cfRule>
  </conditionalFormatting>
  <conditionalFormatting sqref="A146">
    <cfRule type="cellIs" priority="375" dxfId="0" operator="greaterThan" stopIfTrue="1">
      <formula>"hoje()"</formula>
    </cfRule>
  </conditionalFormatting>
  <conditionalFormatting sqref="A146">
    <cfRule type="cellIs" priority="374" dxfId="0" operator="greaterThan" stopIfTrue="1">
      <formula>"hoje()"</formula>
    </cfRule>
  </conditionalFormatting>
  <conditionalFormatting sqref="A146">
    <cfRule type="cellIs" priority="373" dxfId="0" operator="greaterThan" stopIfTrue="1">
      <formula>"hoje()"</formula>
    </cfRule>
  </conditionalFormatting>
  <conditionalFormatting sqref="A146">
    <cfRule type="cellIs" priority="372" dxfId="0" operator="greaterThan" stopIfTrue="1">
      <formula>"hoje()"</formula>
    </cfRule>
  </conditionalFormatting>
  <conditionalFormatting sqref="A146">
    <cfRule type="cellIs" priority="371" dxfId="0" operator="greaterThan" stopIfTrue="1">
      <formula>"hoje()"</formula>
    </cfRule>
  </conditionalFormatting>
  <conditionalFormatting sqref="A146">
    <cfRule type="cellIs" priority="370" dxfId="0" operator="greaterThan" stopIfTrue="1">
      <formula>"hoje()"</formula>
    </cfRule>
  </conditionalFormatting>
  <conditionalFormatting sqref="A146">
    <cfRule type="cellIs" priority="369" dxfId="0" operator="greaterThan" stopIfTrue="1">
      <formula>"hoje()"</formula>
    </cfRule>
  </conditionalFormatting>
  <conditionalFormatting sqref="A146">
    <cfRule type="cellIs" priority="368" dxfId="0" operator="greaterThan" stopIfTrue="1">
      <formula>"hoje()"</formula>
    </cfRule>
  </conditionalFormatting>
  <conditionalFormatting sqref="A146">
    <cfRule type="cellIs" priority="367" dxfId="0" operator="greaterThan" stopIfTrue="1">
      <formula>"hoje()"</formula>
    </cfRule>
  </conditionalFormatting>
  <conditionalFormatting sqref="A146">
    <cfRule type="cellIs" priority="366" dxfId="0" operator="greaterThan" stopIfTrue="1">
      <formula>"hoje()"</formula>
    </cfRule>
  </conditionalFormatting>
  <conditionalFormatting sqref="A146">
    <cfRule type="cellIs" priority="365" dxfId="0" operator="greaterThan" stopIfTrue="1">
      <formula>"hoje()"</formula>
    </cfRule>
  </conditionalFormatting>
  <conditionalFormatting sqref="A146">
    <cfRule type="cellIs" priority="364" dxfId="0" operator="greaterThan" stopIfTrue="1">
      <formula>"hoje()"</formula>
    </cfRule>
  </conditionalFormatting>
  <conditionalFormatting sqref="A146">
    <cfRule type="cellIs" priority="363" dxfId="0" operator="greaterThan" stopIfTrue="1">
      <formula>"hoje()"</formula>
    </cfRule>
  </conditionalFormatting>
  <conditionalFormatting sqref="A146">
    <cfRule type="cellIs" priority="362" dxfId="0" operator="greaterThan" stopIfTrue="1">
      <formula>"hoje()"</formula>
    </cfRule>
  </conditionalFormatting>
  <conditionalFormatting sqref="A146">
    <cfRule type="cellIs" priority="361" dxfId="0" operator="greaterThan" stopIfTrue="1">
      <formula>"hoje()"</formula>
    </cfRule>
  </conditionalFormatting>
  <conditionalFormatting sqref="A146">
    <cfRule type="cellIs" priority="360" dxfId="0" operator="greaterThan" stopIfTrue="1">
      <formula>"hoje()"</formula>
    </cfRule>
  </conditionalFormatting>
  <conditionalFormatting sqref="A146">
    <cfRule type="cellIs" priority="359" dxfId="0" operator="greaterThan" stopIfTrue="1">
      <formula>"hoje()"</formula>
    </cfRule>
  </conditionalFormatting>
  <conditionalFormatting sqref="A146">
    <cfRule type="cellIs" priority="358" dxfId="0" operator="greaterThan" stopIfTrue="1">
      <formula>"hoje()"</formula>
    </cfRule>
  </conditionalFormatting>
  <conditionalFormatting sqref="A146">
    <cfRule type="cellIs" priority="357" dxfId="0" operator="greaterThan" stopIfTrue="1">
      <formula>"hoje()"</formula>
    </cfRule>
  </conditionalFormatting>
  <conditionalFormatting sqref="A146">
    <cfRule type="cellIs" priority="356" dxfId="0" operator="greaterThan" stopIfTrue="1">
      <formula>"hoje()"</formula>
    </cfRule>
  </conditionalFormatting>
  <conditionalFormatting sqref="A146">
    <cfRule type="cellIs" priority="355" dxfId="0" operator="greaterThan" stopIfTrue="1">
      <formula>"hoje()"</formula>
    </cfRule>
  </conditionalFormatting>
  <conditionalFormatting sqref="A146">
    <cfRule type="cellIs" priority="354" dxfId="0" operator="greaterThan" stopIfTrue="1">
      <formula>"hoje()"</formula>
    </cfRule>
  </conditionalFormatting>
  <conditionalFormatting sqref="A146">
    <cfRule type="cellIs" priority="353" dxfId="0" operator="greaterThan" stopIfTrue="1">
      <formula>"hoje()"</formula>
    </cfRule>
  </conditionalFormatting>
  <conditionalFormatting sqref="A146">
    <cfRule type="cellIs" priority="352" dxfId="0" operator="greaterThan" stopIfTrue="1">
      <formula>"hoje()"</formula>
    </cfRule>
  </conditionalFormatting>
  <conditionalFormatting sqref="A146">
    <cfRule type="cellIs" priority="351" dxfId="0" operator="greaterThan" stopIfTrue="1">
      <formula>"hoje()"</formula>
    </cfRule>
  </conditionalFormatting>
  <conditionalFormatting sqref="A146">
    <cfRule type="cellIs" priority="350" dxfId="0" operator="greaterThan" stopIfTrue="1">
      <formula>"hoje()"</formula>
    </cfRule>
  </conditionalFormatting>
  <conditionalFormatting sqref="A146">
    <cfRule type="cellIs" priority="349" dxfId="0" operator="greaterThan" stopIfTrue="1">
      <formula>"hoje()"</formula>
    </cfRule>
  </conditionalFormatting>
  <conditionalFormatting sqref="A146">
    <cfRule type="cellIs" priority="348" dxfId="0" operator="greaterThan" stopIfTrue="1">
      <formula>"hoje()"</formula>
    </cfRule>
  </conditionalFormatting>
  <conditionalFormatting sqref="A146">
    <cfRule type="cellIs" priority="347" dxfId="0" operator="greaterThan" stopIfTrue="1">
      <formula>"hoje()"</formula>
    </cfRule>
  </conditionalFormatting>
  <conditionalFormatting sqref="A146">
    <cfRule type="cellIs" priority="346" dxfId="0" operator="greaterThan" stopIfTrue="1">
      <formula>"hoje()"</formula>
    </cfRule>
  </conditionalFormatting>
  <conditionalFormatting sqref="A146">
    <cfRule type="cellIs" priority="345" dxfId="0" operator="greaterThan" stopIfTrue="1">
      <formula>"hoje()"</formula>
    </cfRule>
  </conditionalFormatting>
  <conditionalFormatting sqref="A146">
    <cfRule type="cellIs" priority="344" dxfId="0" operator="greaterThan" stopIfTrue="1">
      <formula>"hoje()"</formula>
    </cfRule>
  </conditionalFormatting>
  <conditionalFormatting sqref="A146">
    <cfRule type="cellIs" priority="343" dxfId="0" operator="greaterThan" stopIfTrue="1">
      <formula>"hoje()"</formula>
    </cfRule>
  </conditionalFormatting>
  <conditionalFormatting sqref="A146">
    <cfRule type="cellIs" priority="342" dxfId="0" operator="greaterThan" stopIfTrue="1">
      <formula>"hoje()"</formula>
    </cfRule>
  </conditionalFormatting>
  <conditionalFormatting sqref="A146">
    <cfRule type="cellIs" priority="341" dxfId="0" operator="greaterThan" stopIfTrue="1">
      <formula>"hoje()"</formula>
    </cfRule>
  </conditionalFormatting>
  <conditionalFormatting sqref="A146">
    <cfRule type="cellIs" priority="340" dxfId="0" operator="greaterThan" stopIfTrue="1">
      <formula>"hoje()"</formula>
    </cfRule>
  </conditionalFormatting>
  <conditionalFormatting sqref="A146">
    <cfRule type="cellIs" priority="339" dxfId="0" operator="greaterThan" stopIfTrue="1">
      <formula>"hoje()"</formula>
    </cfRule>
  </conditionalFormatting>
  <conditionalFormatting sqref="A146">
    <cfRule type="cellIs" priority="338" dxfId="0" operator="greaterThan" stopIfTrue="1">
      <formula>"hoje()"</formula>
    </cfRule>
  </conditionalFormatting>
  <conditionalFormatting sqref="A146">
    <cfRule type="cellIs" priority="337" dxfId="0" operator="greaterThan" stopIfTrue="1">
      <formula>"hoje()"</formula>
    </cfRule>
  </conditionalFormatting>
  <conditionalFormatting sqref="A146">
    <cfRule type="cellIs" priority="336" dxfId="0" operator="greaterThan" stopIfTrue="1">
      <formula>"hoje()"</formula>
    </cfRule>
  </conditionalFormatting>
  <conditionalFormatting sqref="A146">
    <cfRule type="cellIs" priority="335" dxfId="0" operator="greaterThan" stopIfTrue="1">
      <formula>"hoje()"</formula>
    </cfRule>
  </conditionalFormatting>
  <conditionalFormatting sqref="A146">
    <cfRule type="cellIs" priority="334" dxfId="0" operator="greaterThan" stopIfTrue="1">
      <formula>"hoje()"</formula>
    </cfRule>
  </conditionalFormatting>
  <conditionalFormatting sqref="A146">
    <cfRule type="cellIs" priority="333" dxfId="0" operator="greaterThan" stopIfTrue="1">
      <formula>"hoje()"</formula>
    </cfRule>
  </conditionalFormatting>
  <conditionalFormatting sqref="A146">
    <cfRule type="cellIs" priority="332" dxfId="0" operator="greaterThan" stopIfTrue="1">
      <formula>"hoje()"</formula>
    </cfRule>
  </conditionalFormatting>
  <conditionalFormatting sqref="A146">
    <cfRule type="cellIs" priority="331" dxfId="0" operator="greaterThan" stopIfTrue="1">
      <formula>"hoje()"</formula>
    </cfRule>
  </conditionalFormatting>
  <conditionalFormatting sqref="A146">
    <cfRule type="cellIs" priority="330" dxfId="0" operator="greaterThan" stopIfTrue="1">
      <formula>"hoje()"</formula>
    </cfRule>
  </conditionalFormatting>
  <conditionalFormatting sqref="A146">
    <cfRule type="cellIs" priority="329" dxfId="0" operator="greaterThan" stopIfTrue="1">
      <formula>"hoje()"</formula>
    </cfRule>
  </conditionalFormatting>
  <conditionalFormatting sqref="A147:A148">
    <cfRule type="cellIs" priority="328" dxfId="0" operator="greaterThan" stopIfTrue="1">
      <formula>"hoje()"</formula>
    </cfRule>
  </conditionalFormatting>
  <conditionalFormatting sqref="A147:A148">
    <cfRule type="cellIs" priority="327" dxfId="0" operator="greaterThan" stopIfTrue="1">
      <formula>"hoje()"</formula>
    </cfRule>
  </conditionalFormatting>
  <conditionalFormatting sqref="A147:A148">
    <cfRule type="cellIs" priority="326" dxfId="0" operator="greaterThan" stopIfTrue="1">
      <formula>"hoje()"</formula>
    </cfRule>
  </conditionalFormatting>
  <conditionalFormatting sqref="A147:A148">
    <cfRule type="cellIs" priority="325" dxfId="0" operator="greaterThan" stopIfTrue="1">
      <formula>"hoje()"</formula>
    </cfRule>
  </conditionalFormatting>
  <conditionalFormatting sqref="A147:A148">
    <cfRule type="cellIs" priority="324" dxfId="0" operator="greaterThan" stopIfTrue="1">
      <formula>"hoje()"</formula>
    </cfRule>
  </conditionalFormatting>
  <conditionalFormatting sqref="A147:A148">
    <cfRule type="cellIs" priority="323" dxfId="0" operator="greaterThan" stopIfTrue="1">
      <formula>"hoje()"</formula>
    </cfRule>
  </conditionalFormatting>
  <conditionalFormatting sqref="A147:A148">
    <cfRule type="cellIs" priority="322" dxfId="0" operator="greaterThan" stopIfTrue="1">
      <formula>"hoje()"</formula>
    </cfRule>
  </conditionalFormatting>
  <conditionalFormatting sqref="A147:A148">
    <cfRule type="cellIs" priority="321" dxfId="0" operator="greaterThan" stopIfTrue="1">
      <formula>"hoje()"</formula>
    </cfRule>
  </conditionalFormatting>
  <conditionalFormatting sqref="A147:A148">
    <cfRule type="cellIs" priority="320" dxfId="0" operator="greaterThan" stopIfTrue="1">
      <formula>"hoje()"</formula>
    </cfRule>
  </conditionalFormatting>
  <conditionalFormatting sqref="A147:A148">
    <cfRule type="cellIs" priority="319" dxfId="0" operator="greaterThan" stopIfTrue="1">
      <formula>"hoje()"</formula>
    </cfRule>
  </conditionalFormatting>
  <conditionalFormatting sqref="A147:A148">
    <cfRule type="cellIs" priority="318" dxfId="0" operator="greaterThan" stopIfTrue="1">
      <formula>"hoje()"</formula>
    </cfRule>
  </conditionalFormatting>
  <conditionalFormatting sqref="A147:A148">
    <cfRule type="cellIs" priority="317" dxfId="0" operator="greaterThan" stopIfTrue="1">
      <formula>"hoje()"</formula>
    </cfRule>
  </conditionalFormatting>
  <conditionalFormatting sqref="A147:A148">
    <cfRule type="cellIs" priority="316" dxfId="0" operator="greaterThan" stopIfTrue="1">
      <formula>"hoje()"</formula>
    </cfRule>
  </conditionalFormatting>
  <conditionalFormatting sqref="A147:A148">
    <cfRule type="cellIs" priority="315" dxfId="0" operator="greaterThan" stopIfTrue="1">
      <formula>"hoje()"</formula>
    </cfRule>
  </conditionalFormatting>
  <conditionalFormatting sqref="A147:A148">
    <cfRule type="cellIs" priority="314" dxfId="0" operator="greaterThan" stopIfTrue="1">
      <formula>"hoje()"</formula>
    </cfRule>
  </conditionalFormatting>
  <conditionalFormatting sqref="A147:A148">
    <cfRule type="cellIs" priority="313" dxfId="0" operator="greaterThan" stopIfTrue="1">
      <formula>"hoje()"</formula>
    </cfRule>
  </conditionalFormatting>
  <conditionalFormatting sqref="A147:A148">
    <cfRule type="cellIs" priority="312" dxfId="0" operator="greaterThan" stopIfTrue="1">
      <formula>"hoje()"</formula>
    </cfRule>
  </conditionalFormatting>
  <conditionalFormatting sqref="A147:A148">
    <cfRule type="cellIs" priority="311" dxfId="0" operator="greaterThan" stopIfTrue="1">
      <formula>"hoje()"</formula>
    </cfRule>
  </conditionalFormatting>
  <conditionalFormatting sqref="A147:A148">
    <cfRule type="cellIs" priority="310" dxfId="0" operator="greaterThan" stopIfTrue="1">
      <formula>"hoje()"</formula>
    </cfRule>
  </conditionalFormatting>
  <conditionalFormatting sqref="A147:A148">
    <cfRule type="cellIs" priority="309" dxfId="0" operator="greaterThan" stopIfTrue="1">
      <formula>"hoje()"</formula>
    </cfRule>
  </conditionalFormatting>
  <conditionalFormatting sqref="A147:A148">
    <cfRule type="cellIs" priority="308" dxfId="0" operator="greaterThan" stopIfTrue="1">
      <formula>"hoje()"</formula>
    </cfRule>
  </conditionalFormatting>
  <conditionalFormatting sqref="A147:A148">
    <cfRule type="cellIs" priority="307" dxfId="0" operator="greaterThan" stopIfTrue="1">
      <formula>"hoje()"</formula>
    </cfRule>
  </conditionalFormatting>
  <conditionalFormatting sqref="A147:A148">
    <cfRule type="cellIs" priority="306" dxfId="0" operator="greaterThan" stopIfTrue="1">
      <formula>"hoje()"</formula>
    </cfRule>
  </conditionalFormatting>
  <conditionalFormatting sqref="A147:A148">
    <cfRule type="cellIs" priority="305" dxfId="0" operator="greaterThan" stopIfTrue="1">
      <formula>"hoje()"</formula>
    </cfRule>
  </conditionalFormatting>
  <conditionalFormatting sqref="A147:A148">
    <cfRule type="cellIs" priority="304" dxfId="0" operator="greaterThan" stopIfTrue="1">
      <formula>"hoje()"</formula>
    </cfRule>
  </conditionalFormatting>
  <conditionalFormatting sqref="A147:A148">
    <cfRule type="cellIs" priority="303" dxfId="0" operator="greaterThan" stopIfTrue="1">
      <formula>"hoje()"</formula>
    </cfRule>
  </conditionalFormatting>
  <conditionalFormatting sqref="A147:A148">
    <cfRule type="cellIs" priority="302" dxfId="0" operator="greaterThan" stopIfTrue="1">
      <formula>"hoje()"</formula>
    </cfRule>
  </conditionalFormatting>
  <conditionalFormatting sqref="A147:A148">
    <cfRule type="cellIs" priority="301" dxfId="0" operator="greaterThan" stopIfTrue="1">
      <formula>"hoje()"</formula>
    </cfRule>
  </conditionalFormatting>
  <conditionalFormatting sqref="A147:A148">
    <cfRule type="cellIs" priority="300" dxfId="0" operator="greaterThan" stopIfTrue="1">
      <formula>"hoje()"</formula>
    </cfRule>
  </conditionalFormatting>
  <conditionalFormatting sqref="A147:A148">
    <cfRule type="cellIs" priority="299" dxfId="0" operator="greaterThan" stopIfTrue="1">
      <formula>"hoje()"</formula>
    </cfRule>
  </conditionalFormatting>
  <conditionalFormatting sqref="A147:A148">
    <cfRule type="cellIs" priority="298" dxfId="0" operator="greaterThan" stopIfTrue="1">
      <formula>"hoje()"</formula>
    </cfRule>
  </conditionalFormatting>
  <conditionalFormatting sqref="A147:A148">
    <cfRule type="cellIs" priority="297" dxfId="0" operator="greaterThan" stopIfTrue="1">
      <formula>"hoje()"</formula>
    </cfRule>
  </conditionalFormatting>
  <conditionalFormatting sqref="A147:A148">
    <cfRule type="cellIs" priority="296" dxfId="0" operator="greaterThan" stopIfTrue="1">
      <formula>"hoje()"</formula>
    </cfRule>
  </conditionalFormatting>
  <conditionalFormatting sqref="A147:A148">
    <cfRule type="cellIs" priority="295" dxfId="0" operator="greaterThan" stopIfTrue="1">
      <formula>"hoje()"</formula>
    </cfRule>
  </conditionalFormatting>
  <conditionalFormatting sqref="A147:A148">
    <cfRule type="cellIs" priority="294" dxfId="0" operator="greaterThan" stopIfTrue="1">
      <formula>"hoje()"</formula>
    </cfRule>
  </conditionalFormatting>
  <conditionalFormatting sqref="A147:A148">
    <cfRule type="cellIs" priority="293" dxfId="0" operator="greaterThan" stopIfTrue="1">
      <formula>"hoje()"</formula>
    </cfRule>
  </conditionalFormatting>
  <conditionalFormatting sqref="A147:A148">
    <cfRule type="cellIs" priority="292" dxfId="0" operator="greaterThan" stopIfTrue="1">
      <formula>"hoje()"</formula>
    </cfRule>
  </conditionalFormatting>
  <conditionalFormatting sqref="A147:A148">
    <cfRule type="cellIs" priority="291" dxfId="0" operator="greaterThan" stopIfTrue="1">
      <formula>"hoje()"</formula>
    </cfRule>
  </conditionalFormatting>
  <conditionalFormatting sqref="A147:A148">
    <cfRule type="cellIs" priority="290" dxfId="0" operator="greaterThan" stopIfTrue="1">
      <formula>"hoje()"</formula>
    </cfRule>
  </conditionalFormatting>
  <conditionalFormatting sqref="A147:A148">
    <cfRule type="cellIs" priority="289" dxfId="0" operator="greaterThan" stopIfTrue="1">
      <formula>"hoje()"</formula>
    </cfRule>
  </conditionalFormatting>
  <conditionalFormatting sqref="A147:A148">
    <cfRule type="cellIs" priority="288" dxfId="0" operator="greaterThan" stopIfTrue="1">
      <formula>"hoje()"</formula>
    </cfRule>
  </conditionalFormatting>
  <conditionalFormatting sqref="A147:A148">
    <cfRule type="cellIs" priority="287" dxfId="0" operator="greaterThan" stopIfTrue="1">
      <formula>"hoje()"</formula>
    </cfRule>
  </conditionalFormatting>
  <conditionalFormatting sqref="A147:A148">
    <cfRule type="cellIs" priority="286" dxfId="0" operator="greaterThan" stopIfTrue="1">
      <formula>"hoje()"</formula>
    </cfRule>
  </conditionalFormatting>
  <conditionalFormatting sqref="A147:A148">
    <cfRule type="cellIs" priority="285" dxfId="0" operator="greaterThan" stopIfTrue="1">
      <formula>"hoje()"</formula>
    </cfRule>
  </conditionalFormatting>
  <conditionalFormatting sqref="A147:A148">
    <cfRule type="cellIs" priority="284" dxfId="0" operator="greaterThan" stopIfTrue="1">
      <formula>"hoje()"</formula>
    </cfRule>
  </conditionalFormatting>
  <conditionalFormatting sqref="A147:A148">
    <cfRule type="cellIs" priority="283" dxfId="0" operator="greaterThan" stopIfTrue="1">
      <formula>"hoje()"</formula>
    </cfRule>
  </conditionalFormatting>
  <conditionalFormatting sqref="A147:A148">
    <cfRule type="cellIs" priority="282" dxfId="0" operator="greaterThan" stopIfTrue="1">
      <formula>"hoje()"</formula>
    </cfRule>
  </conditionalFormatting>
  <conditionalFormatting sqref="A147:A148">
    <cfRule type="cellIs" priority="281" dxfId="0" operator="greaterThan" stopIfTrue="1">
      <formula>"hoje()"</formula>
    </cfRule>
  </conditionalFormatting>
  <conditionalFormatting sqref="A147:A148">
    <cfRule type="cellIs" priority="280" dxfId="0" operator="greaterThan" stopIfTrue="1">
      <formula>"hoje()"</formula>
    </cfRule>
  </conditionalFormatting>
  <conditionalFormatting sqref="A147:A148">
    <cfRule type="cellIs" priority="279" dxfId="0" operator="greaterThan" stopIfTrue="1">
      <formula>"hoje()"</formula>
    </cfRule>
  </conditionalFormatting>
  <conditionalFormatting sqref="A147:A148">
    <cfRule type="cellIs" priority="278" dxfId="0" operator="greaterThan" stopIfTrue="1">
      <formula>"hoje()"</formula>
    </cfRule>
  </conditionalFormatting>
  <conditionalFormatting sqref="A147:A148">
    <cfRule type="cellIs" priority="277" dxfId="0" operator="greaterThan" stopIfTrue="1">
      <formula>"hoje()"</formula>
    </cfRule>
  </conditionalFormatting>
  <conditionalFormatting sqref="A147:A148">
    <cfRule type="cellIs" priority="276" dxfId="0" operator="greaterThan" stopIfTrue="1">
      <formula>"hoje()"</formula>
    </cfRule>
  </conditionalFormatting>
  <conditionalFormatting sqref="A147:A148">
    <cfRule type="cellIs" priority="275" dxfId="0" operator="greaterThan" stopIfTrue="1">
      <formula>"hoje()"</formula>
    </cfRule>
  </conditionalFormatting>
  <conditionalFormatting sqref="A147:A148">
    <cfRule type="cellIs" priority="274" dxfId="0" operator="greaterThan" stopIfTrue="1">
      <formula>"hoje()"</formula>
    </cfRule>
  </conditionalFormatting>
  <conditionalFormatting sqref="A147:A148">
    <cfRule type="cellIs" priority="273" dxfId="0" operator="greaterThan" stopIfTrue="1">
      <formula>"hoje()"</formula>
    </cfRule>
  </conditionalFormatting>
  <conditionalFormatting sqref="A147:A148">
    <cfRule type="cellIs" priority="272" dxfId="0" operator="greaterThan" stopIfTrue="1">
      <formula>"hoje()"</formula>
    </cfRule>
  </conditionalFormatting>
  <conditionalFormatting sqref="A147:A148">
    <cfRule type="cellIs" priority="271" dxfId="0" operator="greaterThan" stopIfTrue="1">
      <formula>"hoje()"</formula>
    </cfRule>
  </conditionalFormatting>
  <conditionalFormatting sqref="A147:A148">
    <cfRule type="cellIs" priority="270" dxfId="0" operator="greaterThan" stopIfTrue="1">
      <formula>"hoje()"</formula>
    </cfRule>
  </conditionalFormatting>
  <conditionalFormatting sqref="A147:A148">
    <cfRule type="cellIs" priority="269" dxfId="0" operator="greaterThan" stopIfTrue="1">
      <formula>"hoje()"</formula>
    </cfRule>
  </conditionalFormatting>
  <conditionalFormatting sqref="A147:A148">
    <cfRule type="cellIs" priority="268" dxfId="0" operator="greaterThan" stopIfTrue="1">
      <formula>"hoje()"</formula>
    </cfRule>
  </conditionalFormatting>
  <conditionalFormatting sqref="A147:A148">
    <cfRule type="cellIs" priority="267" dxfId="0" operator="greaterThan" stopIfTrue="1">
      <formula>"hoje()"</formula>
    </cfRule>
  </conditionalFormatting>
  <conditionalFormatting sqref="A147:A148">
    <cfRule type="cellIs" priority="266" dxfId="0" operator="greaterThan" stopIfTrue="1">
      <formula>"hoje()"</formula>
    </cfRule>
  </conditionalFormatting>
  <conditionalFormatting sqref="A147:A148">
    <cfRule type="cellIs" priority="265" dxfId="0" operator="greaterThan" stopIfTrue="1">
      <formula>"hoje()"</formula>
    </cfRule>
  </conditionalFormatting>
  <conditionalFormatting sqref="A147:A148">
    <cfRule type="cellIs" priority="264" dxfId="0" operator="greaterThan" stopIfTrue="1">
      <formula>"hoje()"</formula>
    </cfRule>
  </conditionalFormatting>
  <conditionalFormatting sqref="A147:A148">
    <cfRule type="cellIs" priority="263" dxfId="0" operator="greaterThan" stopIfTrue="1">
      <formula>"hoje()"</formula>
    </cfRule>
  </conditionalFormatting>
  <conditionalFormatting sqref="A147:A148">
    <cfRule type="cellIs" priority="262" dxfId="0" operator="greaterThan" stopIfTrue="1">
      <formula>"hoje()"</formula>
    </cfRule>
  </conditionalFormatting>
  <conditionalFormatting sqref="A147:A148">
    <cfRule type="cellIs" priority="261" dxfId="0" operator="greaterThan" stopIfTrue="1">
      <formula>"hoje()"</formula>
    </cfRule>
  </conditionalFormatting>
  <conditionalFormatting sqref="A147:A148">
    <cfRule type="cellIs" priority="260" dxfId="0" operator="greaterThan" stopIfTrue="1">
      <formula>"hoje()"</formula>
    </cfRule>
  </conditionalFormatting>
  <conditionalFormatting sqref="A147:A148">
    <cfRule type="cellIs" priority="259" dxfId="0" operator="greaterThan" stopIfTrue="1">
      <formula>"hoje()"</formula>
    </cfRule>
  </conditionalFormatting>
  <conditionalFormatting sqref="A147:A148">
    <cfRule type="cellIs" priority="258" dxfId="0" operator="greaterThan" stopIfTrue="1">
      <formula>"hoje()"</formula>
    </cfRule>
  </conditionalFormatting>
  <conditionalFormatting sqref="A147:A148">
    <cfRule type="cellIs" priority="257" dxfId="0" operator="greaterThan" stopIfTrue="1">
      <formula>"hoje()"</formula>
    </cfRule>
  </conditionalFormatting>
  <conditionalFormatting sqref="A147:A148">
    <cfRule type="cellIs" priority="256" dxfId="0" operator="greaterThan" stopIfTrue="1">
      <formula>"hoje()"</formula>
    </cfRule>
  </conditionalFormatting>
  <conditionalFormatting sqref="A147:A148">
    <cfRule type="cellIs" priority="255" dxfId="0" operator="greaterThan" stopIfTrue="1">
      <formula>"hoje()"</formula>
    </cfRule>
  </conditionalFormatting>
  <conditionalFormatting sqref="A147:A148">
    <cfRule type="cellIs" priority="254" dxfId="0" operator="greaterThan" stopIfTrue="1">
      <formula>"hoje()"</formula>
    </cfRule>
  </conditionalFormatting>
  <conditionalFormatting sqref="A147:A148">
    <cfRule type="cellIs" priority="253" dxfId="0" operator="greaterThan" stopIfTrue="1">
      <formula>"hoje()"</formula>
    </cfRule>
  </conditionalFormatting>
  <conditionalFormatting sqref="A147:A148">
    <cfRule type="cellIs" priority="252" dxfId="0" operator="greaterThan" stopIfTrue="1">
      <formula>"hoje()"</formula>
    </cfRule>
  </conditionalFormatting>
  <conditionalFormatting sqref="A147:A148">
    <cfRule type="cellIs" priority="251" dxfId="0" operator="greaterThan" stopIfTrue="1">
      <formula>"hoje()"</formula>
    </cfRule>
  </conditionalFormatting>
  <conditionalFormatting sqref="A147:A148">
    <cfRule type="cellIs" priority="250" dxfId="0" operator="greaterThan" stopIfTrue="1">
      <formula>"hoje()"</formula>
    </cfRule>
  </conditionalFormatting>
  <conditionalFormatting sqref="A147:A148">
    <cfRule type="cellIs" priority="249" dxfId="0" operator="greaterThan" stopIfTrue="1">
      <formula>"hoje()"</formula>
    </cfRule>
  </conditionalFormatting>
  <conditionalFormatting sqref="A147:A148">
    <cfRule type="cellIs" priority="248" dxfId="0" operator="greaterThan" stopIfTrue="1">
      <formula>"hoje()"</formula>
    </cfRule>
  </conditionalFormatting>
  <conditionalFormatting sqref="A147:A148">
    <cfRule type="cellIs" priority="247" dxfId="0" operator="greaterThan" stopIfTrue="1">
      <formula>"hoje()"</formula>
    </cfRule>
  </conditionalFormatting>
  <conditionalFormatting sqref="A147:A148">
    <cfRule type="cellIs" priority="246" dxfId="0" operator="greaterThan" stopIfTrue="1">
      <formula>"hoje()"</formula>
    </cfRule>
  </conditionalFormatting>
  <conditionalFormatting sqref="A147:A148">
    <cfRule type="cellIs" priority="245" dxfId="0" operator="greaterThan" stopIfTrue="1">
      <formula>"hoje()"</formula>
    </cfRule>
  </conditionalFormatting>
  <conditionalFormatting sqref="A147:A148">
    <cfRule type="cellIs" priority="244" dxfId="0" operator="greaterThan" stopIfTrue="1">
      <formula>"hoje()"</formula>
    </cfRule>
  </conditionalFormatting>
  <conditionalFormatting sqref="A147:A148">
    <cfRule type="cellIs" priority="243" dxfId="0" operator="greaterThan" stopIfTrue="1">
      <formula>"hoje()"</formula>
    </cfRule>
  </conditionalFormatting>
  <conditionalFormatting sqref="A147:A148">
    <cfRule type="cellIs" priority="242" dxfId="0" operator="greaterThan" stopIfTrue="1">
      <formula>"hoje()"</formula>
    </cfRule>
  </conditionalFormatting>
  <conditionalFormatting sqref="A147:A148">
    <cfRule type="cellIs" priority="241" dxfId="0" operator="greaterThan" stopIfTrue="1">
      <formula>"hoje()"</formula>
    </cfRule>
  </conditionalFormatting>
  <conditionalFormatting sqref="A147:A148">
    <cfRule type="cellIs" priority="240" dxfId="0" operator="greaterThan" stopIfTrue="1">
      <formula>"hoje()"</formula>
    </cfRule>
  </conditionalFormatting>
  <conditionalFormatting sqref="A147:A148">
    <cfRule type="cellIs" priority="239" dxfId="0" operator="greaterThan" stopIfTrue="1">
      <formula>"hoje()"</formula>
    </cfRule>
  </conditionalFormatting>
  <conditionalFormatting sqref="A147:A148">
    <cfRule type="cellIs" priority="238" dxfId="0" operator="greaterThan" stopIfTrue="1">
      <formula>"hoje()"</formula>
    </cfRule>
  </conditionalFormatting>
  <conditionalFormatting sqref="A147:A148">
    <cfRule type="cellIs" priority="237" dxfId="0" operator="greaterThan" stopIfTrue="1">
      <formula>"hoje()"</formula>
    </cfRule>
  </conditionalFormatting>
  <conditionalFormatting sqref="A147:A148">
    <cfRule type="cellIs" priority="236" dxfId="0" operator="greaterThan" stopIfTrue="1">
      <formula>"hoje()"</formula>
    </cfRule>
  </conditionalFormatting>
  <conditionalFormatting sqref="A147:A148">
    <cfRule type="cellIs" priority="235" dxfId="0" operator="greaterThan" stopIfTrue="1">
      <formula>"hoje()"</formula>
    </cfRule>
  </conditionalFormatting>
  <conditionalFormatting sqref="A147:A148">
    <cfRule type="cellIs" priority="234" dxfId="0" operator="greaterThan" stopIfTrue="1">
      <formula>"hoje()"</formula>
    </cfRule>
  </conditionalFormatting>
  <conditionalFormatting sqref="A147:A148">
    <cfRule type="cellIs" priority="233" dxfId="0" operator="greaterThan" stopIfTrue="1">
      <formula>"hoje()"</formula>
    </cfRule>
  </conditionalFormatting>
  <conditionalFormatting sqref="A147:A148">
    <cfRule type="cellIs" priority="232" dxfId="0" operator="greaterThan" stopIfTrue="1">
      <formula>"hoje()"</formula>
    </cfRule>
  </conditionalFormatting>
  <conditionalFormatting sqref="A147:A148">
    <cfRule type="cellIs" priority="231" dxfId="0" operator="greaterThan" stopIfTrue="1">
      <formula>"hoje()"</formula>
    </cfRule>
  </conditionalFormatting>
  <conditionalFormatting sqref="A147:A148">
    <cfRule type="cellIs" priority="230" dxfId="0" operator="greaterThan" stopIfTrue="1">
      <formula>"hoje()"</formula>
    </cfRule>
  </conditionalFormatting>
  <conditionalFormatting sqref="A147:A148">
    <cfRule type="cellIs" priority="229" dxfId="0" operator="greaterThan" stopIfTrue="1">
      <formula>"hoje()"</formula>
    </cfRule>
  </conditionalFormatting>
  <conditionalFormatting sqref="A147:A148">
    <cfRule type="cellIs" priority="228" dxfId="0" operator="greaterThan" stopIfTrue="1">
      <formula>"hoje()"</formula>
    </cfRule>
  </conditionalFormatting>
  <conditionalFormatting sqref="A147:A148">
    <cfRule type="cellIs" priority="227" dxfId="0" operator="greaterThan" stopIfTrue="1">
      <formula>"hoje()"</formula>
    </cfRule>
  </conditionalFormatting>
  <conditionalFormatting sqref="A147:A148">
    <cfRule type="cellIs" priority="226" dxfId="0" operator="greaterThan" stopIfTrue="1">
      <formula>"hoje()"</formula>
    </cfRule>
  </conditionalFormatting>
  <conditionalFormatting sqref="A147:A148">
    <cfRule type="cellIs" priority="225" dxfId="0" operator="greaterThan" stopIfTrue="1">
      <formula>"hoje()"</formula>
    </cfRule>
  </conditionalFormatting>
  <conditionalFormatting sqref="A147:A148">
    <cfRule type="cellIs" priority="224" dxfId="0" operator="greaterThan" stopIfTrue="1">
      <formula>"hoje()"</formula>
    </cfRule>
  </conditionalFormatting>
  <conditionalFormatting sqref="A147:A148">
    <cfRule type="cellIs" priority="223" dxfId="0" operator="greaterThan" stopIfTrue="1">
      <formula>"hoje()"</formula>
    </cfRule>
  </conditionalFormatting>
  <conditionalFormatting sqref="A147:A148">
    <cfRule type="cellIs" priority="222" dxfId="0" operator="greaterThan" stopIfTrue="1">
      <formula>"hoje()"</formula>
    </cfRule>
  </conditionalFormatting>
  <conditionalFormatting sqref="A147:A148">
    <cfRule type="cellIs" priority="221" dxfId="0" operator="greaterThan" stopIfTrue="1">
      <formula>"hoje()"</formula>
    </cfRule>
  </conditionalFormatting>
  <conditionalFormatting sqref="A147:A148">
    <cfRule type="cellIs" priority="220" dxfId="0" operator="greaterThan" stopIfTrue="1">
      <formula>"hoje()"</formula>
    </cfRule>
  </conditionalFormatting>
  <conditionalFormatting sqref="A147:A148">
    <cfRule type="cellIs" priority="219" dxfId="0" operator="greaterThan" stopIfTrue="1">
      <formula>"hoje()"</formula>
    </cfRule>
  </conditionalFormatting>
  <conditionalFormatting sqref="A147:A148">
    <cfRule type="cellIs" priority="218" dxfId="0" operator="greaterThan" stopIfTrue="1">
      <formula>"hoje()"</formula>
    </cfRule>
  </conditionalFormatting>
  <conditionalFormatting sqref="A147:A148">
    <cfRule type="cellIs" priority="217" dxfId="0" operator="greaterThan" stopIfTrue="1">
      <formula>"hoje()"</formula>
    </cfRule>
  </conditionalFormatting>
  <conditionalFormatting sqref="A147:A148">
    <cfRule type="cellIs" priority="216" dxfId="0" operator="greaterThan" stopIfTrue="1">
      <formula>"hoje()"</formula>
    </cfRule>
  </conditionalFormatting>
  <conditionalFormatting sqref="A147:A148">
    <cfRule type="cellIs" priority="215" dxfId="0" operator="greaterThan" stopIfTrue="1">
      <formula>"hoje()"</formula>
    </cfRule>
  </conditionalFormatting>
  <conditionalFormatting sqref="A147:A148">
    <cfRule type="cellIs" priority="214" dxfId="0" operator="greaterThan" stopIfTrue="1">
      <formula>"hoje()"</formula>
    </cfRule>
  </conditionalFormatting>
  <conditionalFormatting sqref="A147:A148">
    <cfRule type="cellIs" priority="213" dxfId="0" operator="greaterThan" stopIfTrue="1">
      <formula>"hoje()"</formula>
    </cfRule>
  </conditionalFormatting>
  <conditionalFormatting sqref="A147:A148">
    <cfRule type="cellIs" priority="212" dxfId="0" operator="greaterThan" stopIfTrue="1">
      <formula>"hoje()"</formula>
    </cfRule>
  </conditionalFormatting>
  <conditionalFormatting sqref="A147:A148">
    <cfRule type="cellIs" priority="211" dxfId="0" operator="greaterThan" stopIfTrue="1">
      <formula>"hoje()"</formula>
    </cfRule>
  </conditionalFormatting>
  <conditionalFormatting sqref="A147:A148">
    <cfRule type="cellIs" priority="210" dxfId="0" operator="greaterThan" stopIfTrue="1">
      <formula>"hoje()"</formula>
    </cfRule>
  </conditionalFormatting>
  <conditionalFormatting sqref="A147:A148">
    <cfRule type="cellIs" priority="209" dxfId="0" operator="greaterThan" stopIfTrue="1">
      <formula>"hoje()"</formula>
    </cfRule>
  </conditionalFormatting>
  <conditionalFormatting sqref="A147:A148">
    <cfRule type="cellIs" priority="208" dxfId="0" operator="greaterThan" stopIfTrue="1">
      <formula>"hoje()"</formula>
    </cfRule>
  </conditionalFormatting>
  <conditionalFormatting sqref="A147:A148">
    <cfRule type="cellIs" priority="207" dxfId="0" operator="greaterThan" stopIfTrue="1">
      <formula>"hoje()"</formula>
    </cfRule>
  </conditionalFormatting>
  <conditionalFormatting sqref="A147:A148">
    <cfRule type="cellIs" priority="206" dxfId="0" operator="greaterThan" stopIfTrue="1">
      <formula>"hoje()"</formula>
    </cfRule>
  </conditionalFormatting>
  <conditionalFormatting sqref="A147:A148">
    <cfRule type="cellIs" priority="205" dxfId="0" operator="greaterThan" stopIfTrue="1">
      <formula>"hoje()"</formula>
    </cfRule>
  </conditionalFormatting>
  <conditionalFormatting sqref="A147:A148">
    <cfRule type="cellIs" priority="204" dxfId="0" operator="greaterThan" stopIfTrue="1">
      <formula>"hoje()"</formula>
    </cfRule>
  </conditionalFormatting>
  <conditionalFormatting sqref="A147:A148">
    <cfRule type="cellIs" priority="203" dxfId="0" operator="greaterThan" stopIfTrue="1">
      <formula>"hoje()"</formula>
    </cfRule>
  </conditionalFormatting>
  <conditionalFormatting sqref="A147:A148">
    <cfRule type="cellIs" priority="202" dxfId="0" operator="greaterThan" stopIfTrue="1">
      <formula>"hoje()"</formula>
    </cfRule>
  </conditionalFormatting>
  <conditionalFormatting sqref="A147:A148">
    <cfRule type="cellIs" priority="201" dxfId="0" operator="greaterThan" stopIfTrue="1">
      <formula>"hoje()"</formula>
    </cfRule>
  </conditionalFormatting>
  <conditionalFormatting sqref="A147:A148">
    <cfRule type="cellIs" priority="200" dxfId="0" operator="greaterThan" stopIfTrue="1">
      <formula>"hoje()"</formula>
    </cfRule>
  </conditionalFormatting>
  <conditionalFormatting sqref="A147:A148">
    <cfRule type="cellIs" priority="199" dxfId="0" operator="greaterThan" stopIfTrue="1">
      <formula>"hoje()"</formula>
    </cfRule>
  </conditionalFormatting>
  <conditionalFormatting sqref="A149">
    <cfRule type="cellIs" priority="198" dxfId="0" operator="greaterThan" stopIfTrue="1">
      <formula>"hoje()"</formula>
    </cfRule>
  </conditionalFormatting>
  <conditionalFormatting sqref="A149">
    <cfRule type="cellIs" priority="197" dxfId="0" operator="greaterThan" stopIfTrue="1">
      <formula>"hoje()"</formula>
    </cfRule>
  </conditionalFormatting>
  <conditionalFormatting sqref="A149">
    <cfRule type="cellIs" priority="196" dxfId="0" operator="greaterThan" stopIfTrue="1">
      <formula>"hoje()"</formula>
    </cfRule>
  </conditionalFormatting>
  <conditionalFormatting sqref="A149">
    <cfRule type="cellIs" priority="195" dxfId="0" operator="greaterThan" stopIfTrue="1">
      <formula>"hoje()"</formula>
    </cfRule>
  </conditionalFormatting>
  <conditionalFormatting sqref="A149">
    <cfRule type="cellIs" priority="194" dxfId="0" operator="greaterThan" stopIfTrue="1">
      <formula>"hoje()"</formula>
    </cfRule>
  </conditionalFormatting>
  <conditionalFormatting sqref="A149">
    <cfRule type="cellIs" priority="193" dxfId="0" operator="greaterThan" stopIfTrue="1">
      <formula>"hoje()"</formula>
    </cfRule>
  </conditionalFormatting>
  <conditionalFormatting sqref="A149">
    <cfRule type="cellIs" priority="192" dxfId="0" operator="greaterThan" stopIfTrue="1">
      <formula>"hoje()"</formula>
    </cfRule>
  </conditionalFormatting>
  <conditionalFormatting sqref="A149">
    <cfRule type="cellIs" priority="191" dxfId="0" operator="greaterThan" stopIfTrue="1">
      <formula>"hoje()"</formula>
    </cfRule>
  </conditionalFormatting>
  <conditionalFormatting sqref="A149">
    <cfRule type="cellIs" priority="190" dxfId="0" operator="greaterThan" stopIfTrue="1">
      <formula>"hoje()"</formula>
    </cfRule>
  </conditionalFormatting>
  <conditionalFormatting sqref="A149">
    <cfRule type="cellIs" priority="189" dxfId="0" operator="greaterThan" stopIfTrue="1">
      <formula>"hoje()"</formula>
    </cfRule>
  </conditionalFormatting>
  <conditionalFormatting sqref="A149">
    <cfRule type="cellIs" priority="188" dxfId="0" operator="greaterThan" stopIfTrue="1">
      <formula>"hoje()"</formula>
    </cfRule>
  </conditionalFormatting>
  <conditionalFormatting sqref="A149">
    <cfRule type="cellIs" priority="187" dxfId="0" operator="greaterThan" stopIfTrue="1">
      <formula>"hoje()"</formula>
    </cfRule>
  </conditionalFormatting>
  <conditionalFormatting sqref="A149">
    <cfRule type="cellIs" priority="186" dxfId="0" operator="greaterThan" stopIfTrue="1">
      <formula>"hoje()"</formula>
    </cfRule>
  </conditionalFormatting>
  <conditionalFormatting sqref="A149">
    <cfRule type="cellIs" priority="185" dxfId="0" operator="greaterThan" stopIfTrue="1">
      <formula>"hoje()"</formula>
    </cfRule>
  </conditionalFormatting>
  <conditionalFormatting sqref="A149">
    <cfRule type="cellIs" priority="184" dxfId="0" operator="greaterThan" stopIfTrue="1">
      <formula>"hoje()"</formula>
    </cfRule>
  </conditionalFormatting>
  <conditionalFormatting sqref="A149">
    <cfRule type="cellIs" priority="183" dxfId="0" operator="greaterThan" stopIfTrue="1">
      <formula>"hoje()"</formula>
    </cfRule>
  </conditionalFormatting>
  <conditionalFormatting sqref="A149">
    <cfRule type="cellIs" priority="182" dxfId="0" operator="greaterThan" stopIfTrue="1">
      <formula>"hoje()"</formula>
    </cfRule>
  </conditionalFormatting>
  <conditionalFormatting sqref="A149">
    <cfRule type="cellIs" priority="181" dxfId="0" operator="greaterThan" stopIfTrue="1">
      <formula>"hoje()"</formula>
    </cfRule>
  </conditionalFormatting>
  <conditionalFormatting sqref="A149">
    <cfRule type="cellIs" priority="180" dxfId="0" operator="greaterThan" stopIfTrue="1">
      <formula>"hoje()"</formula>
    </cfRule>
  </conditionalFormatting>
  <conditionalFormatting sqref="A149">
    <cfRule type="cellIs" priority="179" dxfId="0" operator="greaterThan" stopIfTrue="1">
      <formula>"hoje()"</formula>
    </cfRule>
  </conditionalFormatting>
  <conditionalFormatting sqref="A149">
    <cfRule type="cellIs" priority="178" dxfId="0" operator="greaterThan" stopIfTrue="1">
      <formula>"hoje()"</formula>
    </cfRule>
  </conditionalFormatting>
  <conditionalFormatting sqref="A149">
    <cfRule type="cellIs" priority="177" dxfId="0" operator="greaterThan" stopIfTrue="1">
      <formula>"hoje()"</formula>
    </cfRule>
  </conditionalFormatting>
  <conditionalFormatting sqref="A149">
    <cfRule type="cellIs" priority="176" dxfId="0" operator="greaterThan" stopIfTrue="1">
      <formula>"hoje()"</formula>
    </cfRule>
  </conditionalFormatting>
  <conditionalFormatting sqref="A149">
    <cfRule type="cellIs" priority="175" dxfId="0" operator="greaterThan" stopIfTrue="1">
      <formula>"hoje()"</formula>
    </cfRule>
  </conditionalFormatting>
  <conditionalFormatting sqref="A149">
    <cfRule type="cellIs" priority="174" dxfId="0" operator="greaterThan" stopIfTrue="1">
      <formula>"hoje()"</formula>
    </cfRule>
  </conditionalFormatting>
  <conditionalFormatting sqref="A149">
    <cfRule type="cellIs" priority="173" dxfId="0" operator="greaterThan" stopIfTrue="1">
      <formula>"hoje()"</formula>
    </cfRule>
  </conditionalFormatting>
  <conditionalFormatting sqref="A149">
    <cfRule type="cellIs" priority="172" dxfId="0" operator="greaterThan" stopIfTrue="1">
      <formula>"hoje()"</formula>
    </cfRule>
  </conditionalFormatting>
  <conditionalFormatting sqref="A149">
    <cfRule type="cellIs" priority="171" dxfId="0" operator="greaterThan" stopIfTrue="1">
      <formula>"hoje()"</formula>
    </cfRule>
  </conditionalFormatting>
  <conditionalFormatting sqref="A149">
    <cfRule type="cellIs" priority="170" dxfId="0" operator="greaterThan" stopIfTrue="1">
      <formula>"hoje()"</formula>
    </cfRule>
  </conditionalFormatting>
  <conditionalFormatting sqref="A149">
    <cfRule type="cellIs" priority="169" dxfId="0" operator="greaterThan" stopIfTrue="1">
      <formula>"hoje()"</formula>
    </cfRule>
  </conditionalFormatting>
  <conditionalFormatting sqref="A149">
    <cfRule type="cellIs" priority="168" dxfId="0" operator="greaterThan" stopIfTrue="1">
      <formula>"hoje()"</formula>
    </cfRule>
  </conditionalFormatting>
  <conditionalFormatting sqref="A149">
    <cfRule type="cellIs" priority="167" dxfId="0" operator="greaterThan" stopIfTrue="1">
      <formula>"hoje()"</formula>
    </cfRule>
  </conditionalFormatting>
  <conditionalFormatting sqref="A149">
    <cfRule type="cellIs" priority="166" dxfId="0" operator="greaterThan" stopIfTrue="1">
      <formula>"hoje()"</formula>
    </cfRule>
  </conditionalFormatting>
  <conditionalFormatting sqref="A149">
    <cfRule type="cellIs" priority="165" dxfId="0" operator="greaterThan" stopIfTrue="1">
      <formula>"hoje()"</formula>
    </cfRule>
  </conditionalFormatting>
  <conditionalFormatting sqref="A149">
    <cfRule type="cellIs" priority="164" dxfId="0" operator="greaterThan" stopIfTrue="1">
      <formula>"hoje()"</formula>
    </cfRule>
  </conditionalFormatting>
  <conditionalFormatting sqref="A149">
    <cfRule type="cellIs" priority="163" dxfId="0" operator="greaterThan" stopIfTrue="1">
      <formula>"hoje()"</formula>
    </cfRule>
  </conditionalFormatting>
  <conditionalFormatting sqref="A149">
    <cfRule type="cellIs" priority="162" dxfId="0" operator="greaterThan" stopIfTrue="1">
      <formula>"hoje()"</formula>
    </cfRule>
  </conditionalFormatting>
  <conditionalFormatting sqref="A149">
    <cfRule type="cellIs" priority="161" dxfId="0" operator="greaterThan" stopIfTrue="1">
      <formula>"hoje()"</formula>
    </cfRule>
  </conditionalFormatting>
  <conditionalFormatting sqref="A149">
    <cfRule type="cellIs" priority="160" dxfId="0" operator="greaterThan" stopIfTrue="1">
      <formula>"hoje()"</formula>
    </cfRule>
  </conditionalFormatting>
  <conditionalFormatting sqref="A149">
    <cfRule type="cellIs" priority="159" dxfId="0" operator="greaterThan" stopIfTrue="1">
      <formula>"hoje()"</formula>
    </cfRule>
  </conditionalFormatting>
  <conditionalFormatting sqref="A149">
    <cfRule type="cellIs" priority="158" dxfId="0" operator="greaterThan" stopIfTrue="1">
      <formula>"hoje()"</formula>
    </cfRule>
  </conditionalFormatting>
  <conditionalFormatting sqref="A149">
    <cfRule type="cellIs" priority="157" dxfId="0" operator="greaterThan" stopIfTrue="1">
      <formula>"hoje()"</formula>
    </cfRule>
  </conditionalFormatting>
  <conditionalFormatting sqref="A149">
    <cfRule type="cellIs" priority="156" dxfId="0" operator="greaterThan" stopIfTrue="1">
      <formula>"hoje()"</formula>
    </cfRule>
  </conditionalFormatting>
  <conditionalFormatting sqref="A149">
    <cfRule type="cellIs" priority="155" dxfId="0" operator="greaterThan" stopIfTrue="1">
      <formula>"hoje()"</formula>
    </cfRule>
  </conditionalFormatting>
  <conditionalFormatting sqref="A149">
    <cfRule type="cellIs" priority="154" dxfId="0" operator="greaterThan" stopIfTrue="1">
      <formula>"hoje()"</formula>
    </cfRule>
  </conditionalFormatting>
  <conditionalFormatting sqref="A149">
    <cfRule type="cellIs" priority="153" dxfId="0" operator="greaterThan" stopIfTrue="1">
      <formula>"hoje()"</formula>
    </cfRule>
  </conditionalFormatting>
  <conditionalFormatting sqref="A149">
    <cfRule type="cellIs" priority="152" dxfId="0" operator="greaterThan" stopIfTrue="1">
      <formula>"hoje()"</formula>
    </cfRule>
  </conditionalFormatting>
  <conditionalFormatting sqref="A149">
    <cfRule type="cellIs" priority="151" dxfId="0" operator="greaterThan" stopIfTrue="1">
      <formula>"hoje()"</formula>
    </cfRule>
  </conditionalFormatting>
  <conditionalFormatting sqref="A149">
    <cfRule type="cellIs" priority="150" dxfId="0" operator="greaterThan" stopIfTrue="1">
      <formula>"hoje()"</formula>
    </cfRule>
  </conditionalFormatting>
  <conditionalFormatting sqref="A149">
    <cfRule type="cellIs" priority="149" dxfId="0" operator="greaterThan" stopIfTrue="1">
      <formula>"hoje()"</formula>
    </cfRule>
  </conditionalFormatting>
  <conditionalFormatting sqref="A149">
    <cfRule type="cellIs" priority="148" dxfId="0" operator="greaterThan" stopIfTrue="1">
      <formula>"hoje()"</formula>
    </cfRule>
  </conditionalFormatting>
  <conditionalFormatting sqref="A149">
    <cfRule type="cellIs" priority="147" dxfId="0" operator="greaterThan" stopIfTrue="1">
      <formula>"hoje()"</formula>
    </cfRule>
  </conditionalFormatting>
  <conditionalFormatting sqref="A149">
    <cfRule type="cellIs" priority="146" dxfId="0" operator="greaterThan" stopIfTrue="1">
      <formula>"hoje()"</formula>
    </cfRule>
  </conditionalFormatting>
  <conditionalFormatting sqref="A149">
    <cfRule type="cellIs" priority="145" dxfId="0" operator="greaterThan" stopIfTrue="1">
      <formula>"hoje()"</formula>
    </cfRule>
  </conditionalFormatting>
  <conditionalFormatting sqref="A149">
    <cfRule type="cellIs" priority="144" dxfId="0" operator="greaterThan" stopIfTrue="1">
      <formula>"hoje()"</formula>
    </cfRule>
  </conditionalFormatting>
  <conditionalFormatting sqref="A149">
    <cfRule type="cellIs" priority="143" dxfId="0" operator="greaterThan" stopIfTrue="1">
      <formula>"hoje()"</formula>
    </cfRule>
  </conditionalFormatting>
  <conditionalFormatting sqref="A149">
    <cfRule type="cellIs" priority="142" dxfId="0" operator="greaterThan" stopIfTrue="1">
      <formula>"hoje()"</formula>
    </cfRule>
  </conditionalFormatting>
  <conditionalFormatting sqref="A149">
    <cfRule type="cellIs" priority="141" dxfId="0" operator="greaterThan" stopIfTrue="1">
      <formula>"hoje()"</formula>
    </cfRule>
  </conditionalFormatting>
  <conditionalFormatting sqref="A149">
    <cfRule type="cellIs" priority="140" dxfId="0" operator="greaterThan" stopIfTrue="1">
      <formula>"hoje()"</formula>
    </cfRule>
  </conditionalFormatting>
  <conditionalFormatting sqref="A149">
    <cfRule type="cellIs" priority="139" dxfId="0" operator="greaterThan" stopIfTrue="1">
      <formula>"hoje()"</formula>
    </cfRule>
  </conditionalFormatting>
  <conditionalFormatting sqref="A149">
    <cfRule type="cellIs" priority="138" dxfId="0" operator="greaterThan" stopIfTrue="1">
      <formula>"hoje()"</formula>
    </cfRule>
  </conditionalFormatting>
  <conditionalFormatting sqref="A149">
    <cfRule type="cellIs" priority="137" dxfId="0" operator="greaterThan" stopIfTrue="1">
      <formula>"hoje()"</formula>
    </cfRule>
  </conditionalFormatting>
  <conditionalFormatting sqref="A149">
    <cfRule type="cellIs" priority="136" dxfId="0" operator="greaterThan" stopIfTrue="1">
      <formula>"hoje()"</formula>
    </cfRule>
  </conditionalFormatting>
  <conditionalFormatting sqref="A149">
    <cfRule type="cellIs" priority="135" dxfId="0" operator="greaterThan" stopIfTrue="1">
      <formula>"hoje()"</formula>
    </cfRule>
  </conditionalFormatting>
  <conditionalFormatting sqref="A149">
    <cfRule type="cellIs" priority="134" dxfId="0" operator="greaterThan" stopIfTrue="1">
      <formula>"hoje()"</formula>
    </cfRule>
  </conditionalFormatting>
  <conditionalFormatting sqref="A149">
    <cfRule type="cellIs" priority="133" dxfId="0" operator="greaterThan" stopIfTrue="1">
      <formula>"hoje()"</formula>
    </cfRule>
  </conditionalFormatting>
  <conditionalFormatting sqref="A149">
    <cfRule type="cellIs" priority="132" dxfId="0" operator="greaterThan" stopIfTrue="1">
      <formula>"hoje()"</formula>
    </cfRule>
  </conditionalFormatting>
  <conditionalFormatting sqref="A149">
    <cfRule type="cellIs" priority="131" dxfId="0" operator="greaterThan" stopIfTrue="1">
      <formula>"hoje()"</formula>
    </cfRule>
  </conditionalFormatting>
  <conditionalFormatting sqref="A149">
    <cfRule type="cellIs" priority="130" dxfId="0" operator="greaterThan" stopIfTrue="1">
      <formula>"hoje()"</formula>
    </cfRule>
  </conditionalFormatting>
  <conditionalFormatting sqref="A149">
    <cfRule type="cellIs" priority="129" dxfId="0" operator="greaterThan" stopIfTrue="1">
      <formula>"hoje()"</formula>
    </cfRule>
  </conditionalFormatting>
  <conditionalFormatting sqref="A149">
    <cfRule type="cellIs" priority="128" dxfId="0" operator="greaterThan" stopIfTrue="1">
      <formula>"hoje()"</formula>
    </cfRule>
  </conditionalFormatting>
  <conditionalFormatting sqref="A149">
    <cfRule type="cellIs" priority="127" dxfId="0" operator="greaterThan" stopIfTrue="1">
      <formula>"hoje()"</formula>
    </cfRule>
  </conditionalFormatting>
  <conditionalFormatting sqref="A149">
    <cfRule type="cellIs" priority="126" dxfId="0" operator="greaterThan" stopIfTrue="1">
      <formula>"hoje()"</formula>
    </cfRule>
  </conditionalFormatting>
  <conditionalFormatting sqref="A149">
    <cfRule type="cellIs" priority="125" dxfId="0" operator="greaterThan" stopIfTrue="1">
      <formula>"hoje()"</formula>
    </cfRule>
  </conditionalFormatting>
  <conditionalFormatting sqref="A149">
    <cfRule type="cellIs" priority="124" dxfId="0" operator="greaterThan" stopIfTrue="1">
      <formula>"hoje()"</formula>
    </cfRule>
  </conditionalFormatting>
  <conditionalFormatting sqref="A149">
    <cfRule type="cellIs" priority="123" dxfId="0" operator="greaterThan" stopIfTrue="1">
      <formula>"hoje()"</formula>
    </cfRule>
  </conditionalFormatting>
  <conditionalFormatting sqref="A149">
    <cfRule type="cellIs" priority="122" dxfId="0" operator="greaterThan" stopIfTrue="1">
      <formula>"hoje()"</formula>
    </cfRule>
  </conditionalFormatting>
  <conditionalFormatting sqref="A149">
    <cfRule type="cellIs" priority="121" dxfId="0" operator="greaterThan" stopIfTrue="1">
      <formula>"hoje()"</formula>
    </cfRule>
  </conditionalFormatting>
  <conditionalFormatting sqref="A149">
    <cfRule type="cellIs" priority="120" dxfId="0" operator="greaterThan" stopIfTrue="1">
      <formula>"hoje()"</formula>
    </cfRule>
  </conditionalFormatting>
  <conditionalFormatting sqref="A149">
    <cfRule type="cellIs" priority="119" dxfId="0" operator="greaterThan" stopIfTrue="1">
      <formula>"hoje()"</formula>
    </cfRule>
  </conditionalFormatting>
  <conditionalFormatting sqref="A149">
    <cfRule type="cellIs" priority="118" dxfId="0" operator="greaterThan" stopIfTrue="1">
      <formula>"hoje()"</formula>
    </cfRule>
  </conditionalFormatting>
  <conditionalFormatting sqref="A149">
    <cfRule type="cellIs" priority="117" dxfId="0" operator="greaterThan" stopIfTrue="1">
      <formula>"hoje()"</formula>
    </cfRule>
  </conditionalFormatting>
  <conditionalFormatting sqref="A149">
    <cfRule type="cellIs" priority="116" dxfId="0" operator="greaterThan" stopIfTrue="1">
      <formula>"hoje()"</formula>
    </cfRule>
  </conditionalFormatting>
  <conditionalFormatting sqref="A149">
    <cfRule type="cellIs" priority="115" dxfId="0" operator="greaterThan" stopIfTrue="1">
      <formula>"hoje()"</formula>
    </cfRule>
  </conditionalFormatting>
  <conditionalFormatting sqref="A149">
    <cfRule type="cellIs" priority="114" dxfId="0" operator="greaterThan" stopIfTrue="1">
      <formula>"hoje()"</formula>
    </cfRule>
  </conditionalFormatting>
  <conditionalFormatting sqref="A149">
    <cfRule type="cellIs" priority="113" dxfId="0" operator="greaterThan" stopIfTrue="1">
      <formula>"hoje()"</formula>
    </cfRule>
  </conditionalFormatting>
  <conditionalFormatting sqref="A149">
    <cfRule type="cellIs" priority="112" dxfId="0" operator="greaterThan" stopIfTrue="1">
      <formula>"hoje()"</formula>
    </cfRule>
  </conditionalFormatting>
  <conditionalFormatting sqref="A149">
    <cfRule type="cellIs" priority="111" dxfId="0" operator="greaterThan" stopIfTrue="1">
      <formula>"hoje()"</formula>
    </cfRule>
  </conditionalFormatting>
  <conditionalFormatting sqref="A149">
    <cfRule type="cellIs" priority="110" dxfId="0" operator="greaterThan" stopIfTrue="1">
      <formula>"hoje()"</formula>
    </cfRule>
  </conditionalFormatting>
  <conditionalFormatting sqref="A149">
    <cfRule type="cellIs" priority="109" dxfId="0" operator="greaterThan" stopIfTrue="1">
      <formula>"hoje()"</formula>
    </cfRule>
  </conditionalFormatting>
  <conditionalFormatting sqref="A149">
    <cfRule type="cellIs" priority="108" dxfId="0" operator="greaterThan" stopIfTrue="1">
      <formula>"hoje()"</formula>
    </cfRule>
  </conditionalFormatting>
  <conditionalFormatting sqref="A149">
    <cfRule type="cellIs" priority="107" dxfId="0" operator="greaterThan" stopIfTrue="1">
      <formula>"hoje()"</formula>
    </cfRule>
  </conditionalFormatting>
  <conditionalFormatting sqref="A149">
    <cfRule type="cellIs" priority="106" dxfId="0" operator="greaterThan" stopIfTrue="1">
      <formula>"hoje()"</formula>
    </cfRule>
  </conditionalFormatting>
  <conditionalFormatting sqref="A149">
    <cfRule type="cellIs" priority="105" dxfId="0" operator="greaterThan" stopIfTrue="1">
      <formula>"hoje()"</formula>
    </cfRule>
  </conditionalFormatting>
  <conditionalFormatting sqref="A149">
    <cfRule type="cellIs" priority="104" dxfId="0" operator="greaterThan" stopIfTrue="1">
      <formula>"hoje()"</formula>
    </cfRule>
  </conditionalFormatting>
  <conditionalFormatting sqref="A149">
    <cfRule type="cellIs" priority="103" dxfId="0" operator="greaterThan" stopIfTrue="1">
      <formula>"hoje()"</formula>
    </cfRule>
  </conditionalFormatting>
  <conditionalFormatting sqref="A149">
    <cfRule type="cellIs" priority="102" dxfId="0" operator="greaterThan" stopIfTrue="1">
      <formula>"hoje()"</formula>
    </cfRule>
  </conditionalFormatting>
  <conditionalFormatting sqref="A149">
    <cfRule type="cellIs" priority="101" dxfId="0" operator="greaterThan" stopIfTrue="1">
      <formula>"hoje()"</formula>
    </cfRule>
  </conditionalFormatting>
  <conditionalFormatting sqref="A149">
    <cfRule type="cellIs" priority="100" dxfId="0" operator="greaterThan" stopIfTrue="1">
      <formula>"hoje()"</formula>
    </cfRule>
  </conditionalFormatting>
  <conditionalFormatting sqref="A149">
    <cfRule type="cellIs" priority="99" dxfId="0" operator="greaterThan" stopIfTrue="1">
      <formula>"hoje()"</formula>
    </cfRule>
  </conditionalFormatting>
  <conditionalFormatting sqref="A149">
    <cfRule type="cellIs" priority="98" dxfId="0" operator="greaterThan" stopIfTrue="1">
      <formula>"hoje()"</formula>
    </cfRule>
  </conditionalFormatting>
  <conditionalFormatting sqref="A149">
    <cfRule type="cellIs" priority="97" dxfId="0" operator="greaterThan" stopIfTrue="1">
      <formula>"hoje()"</formula>
    </cfRule>
  </conditionalFormatting>
  <conditionalFormatting sqref="A149">
    <cfRule type="cellIs" priority="96" dxfId="0" operator="greaterThan" stopIfTrue="1">
      <formula>"hoje()"</formula>
    </cfRule>
  </conditionalFormatting>
  <conditionalFormatting sqref="A149">
    <cfRule type="cellIs" priority="95" dxfId="0" operator="greaterThan" stopIfTrue="1">
      <formula>"hoje()"</formula>
    </cfRule>
  </conditionalFormatting>
  <conditionalFormatting sqref="A149">
    <cfRule type="cellIs" priority="94" dxfId="0" operator="greaterThan" stopIfTrue="1">
      <formula>"hoje()"</formula>
    </cfRule>
  </conditionalFormatting>
  <conditionalFormatting sqref="A149">
    <cfRule type="cellIs" priority="93" dxfId="0" operator="greaterThan" stopIfTrue="1">
      <formula>"hoje()"</formula>
    </cfRule>
  </conditionalFormatting>
  <conditionalFormatting sqref="A149">
    <cfRule type="cellIs" priority="92" dxfId="0" operator="greaterThan" stopIfTrue="1">
      <formula>"hoje()"</formula>
    </cfRule>
  </conditionalFormatting>
  <conditionalFormatting sqref="A149">
    <cfRule type="cellIs" priority="91" dxfId="0" operator="greaterThan" stopIfTrue="1">
      <formula>"hoje()"</formula>
    </cfRule>
  </conditionalFormatting>
  <conditionalFormatting sqref="A149">
    <cfRule type="cellIs" priority="90" dxfId="0" operator="greaterThan" stopIfTrue="1">
      <formula>"hoje()"</formula>
    </cfRule>
  </conditionalFormatting>
  <conditionalFormatting sqref="A149">
    <cfRule type="cellIs" priority="89" dxfId="0" operator="greaterThan" stopIfTrue="1">
      <formula>"hoje()"</formula>
    </cfRule>
  </conditionalFormatting>
  <conditionalFormatting sqref="A149">
    <cfRule type="cellIs" priority="88" dxfId="0" operator="greaterThan" stopIfTrue="1">
      <formula>"hoje()"</formula>
    </cfRule>
  </conditionalFormatting>
  <conditionalFormatting sqref="A149">
    <cfRule type="cellIs" priority="87" dxfId="0" operator="greaterThan" stopIfTrue="1">
      <formula>"hoje()"</formula>
    </cfRule>
  </conditionalFormatting>
  <conditionalFormatting sqref="A149">
    <cfRule type="cellIs" priority="86" dxfId="0" operator="greaterThan" stopIfTrue="1">
      <formula>"hoje()"</formula>
    </cfRule>
  </conditionalFormatting>
  <conditionalFormatting sqref="A149">
    <cfRule type="cellIs" priority="85" dxfId="0" operator="greaterThan" stopIfTrue="1">
      <formula>"hoje()"</formula>
    </cfRule>
  </conditionalFormatting>
  <conditionalFormatting sqref="A149">
    <cfRule type="cellIs" priority="84" dxfId="0" operator="greaterThan" stopIfTrue="1">
      <formula>"hoje()"</formula>
    </cfRule>
  </conditionalFormatting>
  <conditionalFormatting sqref="A149">
    <cfRule type="cellIs" priority="83" dxfId="0" operator="greaterThan" stopIfTrue="1">
      <formula>"hoje()"</formula>
    </cfRule>
  </conditionalFormatting>
  <conditionalFormatting sqref="A149">
    <cfRule type="cellIs" priority="82" dxfId="0" operator="greaterThan" stopIfTrue="1">
      <formula>"hoje()"</formula>
    </cfRule>
  </conditionalFormatting>
  <conditionalFormatting sqref="A149">
    <cfRule type="cellIs" priority="81" dxfId="0" operator="greaterThan" stopIfTrue="1">
      <formula>"hoje()"</formula>
    </cfRule>
  </conditionalFormatting>
  <conditionalFormatting sqref="A149">
    <cfRule type="cellIs" priority="80" dxfId="0" operator="greaterThan" stopIfTrue="1">
      <formula>"hoje()"</formula>
    </cfRule>
  </conditionalFormatting>
  <conditionalFormatting sqref="A149">
    <cfRule type="cellIs" priority="79" dxfId="0" operator="greaterThan" stopIfTrue="1">
      <formula>"hoje()"</formula>
    </cfRule>
  </conditionalFormatting>
  <conditionalFormatting sqref="A149">
    <cfRule type="cellIs" priority="78" dxfId="0" operator="greaterThan" stopIfTrue="1">
      <formula>"hoje()"</formula>
    </cfRule>
  </conditionalFormatting>
  <conditionalFormatting sqref="A149">
    <cfRule type="cellIs" priority="77" dxfId="0" operator="greaterThan" stopIfTrue="1">
      <formula>"hoje()"</formula>
    </cfRule>
  </conditionalFormatting>
  <conditionalFormatting sqref="A149">
    <cfRule type="cellIs" priority="76" dxfId="0" operator="greaterThan" stopIfTrue="1">
      <formula>"hoje()"</formula>
    </cfRule>
  </conditionalFormatting>
  <conditionalFormatting sqref="A149">
    <cfRule type="cellIs" priority="75" dxfId="0" operator="greaterThan" stopIfTrue="1">
      <formula>"hoje()"</formula>
    </cfRule>
  </conditionalFormatting>
  <conditionalFormatting sqref="A149">
    <cfRule type="cellIs" priority="74" dxfId="0" operator="greaterThan" stopIfTrue="1">
      <formula>"hoje()"</formula>
    </cfRule>
  </conditionalFormatting>
  <conditionalFormatting sqref="A149">
    <cfRule type="cellIs" priority="73" dxfId="0" operator="greaterThan" stopIfTrue="1">
      <formula>"hoje()"</formula>
    </cfRule>
  </conditionalFormatting>
  <conditionalFormatting sqref="A149">
    <cfRule type="cellIs" priority="72" dxfId="0" operator="greaterThan" stopIfTrue="1">
      <formula>"hoje()"</formula>
    </cfRule>
  </conditionalFormatting>
  <conditionalFormatting sqref="A149">
    <cfRule type="cellIs" priority="71" dxfId="0" operator="greaterThan" stopIfTrue="1">
      <formula>"hoje()"</formula>
    </cfRule>
  </conditionalFormatting>
  <conditionalFormatting sqref="A149">
    <cfRule type="cellIs" priority="70" dxfId="0" operator="greaterThan" stopIfTrue="1">
      <formula>"hoje()"</formula>
    </cfRule>
  </conditionalFormatting>
  <conditionalFormatting sqref="A149">
    <cfRule type="cellIs" priority="69" dxfId="0" operator="greaterThan" stopIfTrue="1">
      <formula>"hoje()"</formula>
    </cfRule>
  </conditionalFormatting>
  <conditionalFormatting sqref="A149">
    <cfRule type="cellIs" priority="68" dxfId="0" operator="greaterThan" stopIfTrue="1">
      <formula>"hoje()"</formula>
    </cfRule>
  </conditionalFormatting>
  <conditionalFormatting sqref="A149">
    <cfRule type="cellIs" priority="67" dxfId="0" operator="greaterThan" stopIfTrue="1">
      <formula>"hoje()"</formula>
    </cfRule>
  </conditionalFormatting>
  <conditionalFormatting sqref="A149">
    <cfRule type="cellIs" priority="66" dxfId="0" operator="greaterThan" stopIfTrue="1">
      <formula>"hoje()"</formula>
    </cfRule>
  </conditionalFormatting>
  <conditionalFormatting sqref="A149">
    <cfRule type="cellIs" priority="65" dxfId="0" operator="greaterThan" stopIfTrue="1">
      <formula>"hoje()"</formula>
    </cfRule>
  </conditionalFormatting>
  <conditionalFormatting sqref="A149">
    <cfRule type="cellIs" priority="64" dxfId="0" operator="greaterThan" stopIfTrue="1">
      <formula>"hoje()"</formula>
    </cfRule>
  </conditionalFormatting>
  <conditionalFormatting sqref="A149">
    <cfRule type="cellIs" priority="63" dxfId="0" operator="greaterThan" stopIfTrue="1">
      <formula>"hoje()"</formula>
    </cfRule>
  </conditionalFormatting>
  <conditionalFormatting sqref="A149">
    <cfRule type="cellIs" priority="62" dxfId="0" operator="greaterThan" stopIfTrue="1">
      <formula>"hoje()"</formula>
    </cfRule>
  </conditionalFormatting>
  <conditionalFormatting sqref="A149">
    <cfRule type="cellIs" priority="61" dxfId="0" operator="greaterThan" stopIfTrue="1">
      <formula>"hoje()"</formula>
    </cfRule>
  </conditionalFormatting>
  <conditionalFormatting sqref="A149">
    <cfRule type="cellIs" priority="60" dxfId="0" operator="greaterThan" stopIfTrue="1">
      <formula>"hoje()"</formula>
    </cfRule>
  </conditionalFormatting>
  <conditionalFormatting sqref="A149">
    <cfRule type="cellIs" priority="59" dxfId="0" operator="greaterThan" stopIfTrue="1">
      <formula>"hoje()"</formula>
    </cfRule>
  </conditionalFormatting>
  <conditionalFormatting sqref="A149">
    <cfRule type="cellIs" priority="58" dxfId="0" operator="greaterThan" stopIfTrue="1">
      <formula>"hoje()"</formula>
    </cfRule>
  </conditionalFormatting>
  <conditionalFormatting sqref="A149">
    <cfRule type="cellIs" priority="57" dxfId="0" operator="greaterThan" stopIfTrue="1">
      <formula>"hoje()"</formula>
    </cfRule>
  </conditionalFormatting>
  <conditionalFormatting sqref="A149">
    <cfRule type="cellIs" priority="56" dxfId="0" operator="greaterThan" stopIfTrue="1">
      <formula>"hoje()"</formula>
    </cfRule>
  </conditionalFormatting>
  <conditionalFormatting sqref="A149">
    <cfRule type="cellIs" priority="55" dxfId="0" operator="greaterThan" stopIfTrue="1">
      <formula>"hoje()"</formula>
    </cfRule>
  </conditionalFormatting>
  <conditionalFormatting sqref="A149">
    <cfRule type="cellIs" priority="54" dxfId="0" operator="greaterThan" stopIfTrue="1">
      <formula>"hoje()"</formula>
    </cfRule>
  </conditionalFormatting>
  <conditionalFormatting sqref="A149">
    <cfRule type="cellIs" priority="53" dxfId="0" operator="greaterThan" stopIfTrue="1">
      <formula>"hoje()"</formula>
    </cfRule>
  </conditionalFormatting>
  <conditionalFormatting sqref="A149">
    <cfRule type="cellIs" priority="52" dxfId="0" operator="greaterThan" stopIfTrue="1">
      <formula>"hoje()"</formula>
    </cfRule>
  </conditionalFormatting>
  <conditionalFormatting sqref="A149">
    <cfRule type="cellIs" priority="51" dxfId="0" operator="greaterThan" stopIfTrue="1">
      <formula>"hoje()"</formula>
    </cfRule>
  </conditionalFormatting>
  <conditionalFormatting sqref="A149">
    <cfRule type="cellIs" priority="50" dxfId="0" operator="greaterThan" stopIfTrue="1">
      <formula>"hoje()"</formula>
    </cfRule>
  </conditionalFormatting>
  <conditionalFormatting sqref="A149">
    <cfRule type="cellIs" priority="49" dxfId="0" operator="greaterThan" stopIfTrue="1">
      <formula>"hoje()"</formula>
    </cfRule>
  </conditionalFormatting>
  <conditionalFormatting sqref="A149">
    <cfRule type="cellIs" priority="48" dxfId="0" operator="greaterThan" stopIfTrue="1">
      <formula>"hoje()"</formula>
    </cfRule>
  </conditionalFormatting>
  <conditionalFormatting sqref="A149">
    <cfRule type="cellIs" priority="47" dxfId="0" operator="greaterThan" stopIfTrue="1">
      <formula>"hoje()"</formula>
    </cfRule>
  </conditionalFormatting>
  <conditionalFormatting sqref="A149">
    <cfRule type="cellIs" priority="46" dxfId="0" operator="greaterThan" stopIfTrue="1">
      <formula>"hoje()"</formula>
    </cfRule>
  </conditionalFormatting>
  <conditionalFormatting sqref="A149">
    <cfRule type="cellIs" priority="45" dxfId="0" operator="greaterThan" stopIfTrue="1">
      <formula>"hoje()"</formula>
    </cfRule>
  </conditionalFormatting>
  <conditionalFormatting sqref="A149">
    <cfRule type="cellIs" priority="44" dxfId="0" operator="greaterThan" stopIfTrue="1">
      <formula>"hoje()"</formula>
    </cfRule>
  </conditionalFormatting>
  <conditionalFormatting sqref="A149">
    <cfRule type="cellIs" priority="43" dxfId="0" operator="greaterThan" stopIfTrue="1">
      <formula>"hoje()"</formula>
    </cfRule>
  </conditionalFormatting>
  <conditionalFormatting sqref="A149">
    <cfRule type="cellIs" priority="42" dxfId="0" operator="greaterThan" stopIfTrue="1">
      <formula>"hoje()"</formula>
    </cfRule>
  </conditionalFormatting>
  <conditionalFormatting sqref="A149">
    <cfRule type="cellIs" priority="41" dxfId="0" operator="greaterThan" stopIfTrue="1">
      <formula>"hoje()"</formula>
    </cfRule>
  </conditionalFormatting>
  <conditionalFormatting sqref="A149">
    <cfRule type="cellIs" priority="40" dxfId="0" operator="greaterThan" stopIfTrue="1">
      <formula>"hoje()"</formula>
    </cfRule>
  </conditionalFormatting>
  <conditionalFormatting sqref="A149">
    <cfRule type="cellIs" priority="39" dxfId="0" operator="greaterThan" stopIfTrue="1">
      <formula>"hoje()"</formula>
    </cfRule>
  </conditionalFormatting>
  <conditionalFormatting sqref="A149">
    <cfRule type="cellIs" priority="38" dxfId="0" operator="greaterThan" stopIfTrue="1">
      <formula>"hoje()"</formula>
    </cfRule>
  </conditionalFormatting>
  <conditionalFormatting sqref="A149">
    <cfRule type="cellIs" priority="37" dxfId="0" operator="greaterThan" stopIfTrue="1">
      <formula>"hoje()"</formula>
    </cfRule>
  </conditionalFormatting>
  <conditionalFormatting sqref="A149">
    <cfRule type="cellIs" priority="36" dxfId="0" operator="greaterThan" stopIfTrue="1">
      <formula>"hoje()"</formula>
    </cfRule>
  </conditionalFormatting>
  <conditionalFormatting sqref="A149">
    <cfRule type="cellIs" priority="35" dxfId="0" operator="greaterThan" stopIfTrue="1">
      <formula>"hoje()"</formula>
    </cfRule>
  </conditionalFormatting>
  <conditionalFormatting sqref="A149">
    <cfRule type="cellIs" priority="34" dxfId="0" operator="greaterThan" stopIfTrue="1">
      <formula>"hoje()"</formula>
    </cfRule>
  </conditionalFormatting>
  <conditionalFormatting sqref="A149">
    <cfRule type="cellIs" priority="33" dxfId="0" operator="greaterThan" stopIfTrue="1">
      <formula>"hoje()"</formula>
    </cfRule>
  </conditionalFormatting>
  <conditionalFormatting sqref="A149">
    <cfRule type="cellIs" priority="32" dxfId="0" operator="greaterThan" stopIfTrue="1">
      <formula>"hoje()"</formula>
    </cfRule>
  </conditionalFormatting>
  <conditionalFormatting sqref="A149">
    <cfRule type="cellIs" priority="31" dxfId="0" operator="greaterThan" stopIfTrue="1">
      <formula>"hoje()"</formula>
    </cfRule>
  </conditionalFormatting>
  <conditionalFormatting sqref="A149">
    <cfRule type="cellIs" priority="30" dxfId="0" operator="greaterThan" stopIfTrue="1">
      <formula>"hoje()"</formula>
    </cfRule>
  </conditionalFormatting>
  <conditionalFormatting sqref="A149">
    <cfRule type="cellIs" priority="29" dxfId="0" operator="greaterThan" stopIfTrue="1">
      <formula>"hoje()"</formula>
    </cfRule>
  </conditionalFormatting>
  <conditionalFormatting sqref="A149">
    <cfRule type="cellIs" priority="28" dxfId="0" operator="greaterThan" stopIfTrue="1">
      <formula>"hoje()"</formula>
    </cfRule>
  </conditionalFormatting>
  <conditionalFormatting sqref="A149">
    <cfRule type="cellIs" priority="27" dxfId="0" operator="greaterThan" stopIfTrue="1">
      <formula>"hoje()"</formula>
    </cfRule>
  </conditionalFormatting>
  <conditionalFormatting sqref="A149">
    <cfRule type="cellIs" priority="26" dxfId="0" operator="greaterThan" stopIfTrue="1">
      <formula>"hoje()"</formula>
    </cfRule>
  </conditionalFormatting>
  <conditionalFormatting sqref="A149">
    <cfRule type="cellIs" priority="25" dxfId="0" operator="greaterThan" stopIfTrue="1">
      <formula>"hoje()"</formula>
    </cfRule>
  </conditionalFormatting>
  <conditionalFormatting sqref="A149">
    <cfRule type="cellIs" priority="24" dxfId="0" operator="greaterThan" stopIfTrue="1">
      <formula>"hoje()"</formula>
    </cfRule>
  </conditionalFormatting>
  <conditionalFormatting sqref="A149">
    <cfRule type="cellIs" priority="23" dxfId="0" operator="greaterThan" stopIfTrue="1">
      <formula>"hoje()"</formula>
    </cfRule>
  </conditionalFormatting>
  <conditionalFormatting sqref="A149">
    <cfRule type="cellIs" priority="22" dxfId="0" operator="greaterThan" stopIfTrue="1">
      <formula>"hoje()"</formula>
    </cfRule>
  </conditionalFormatting>
  <conditionalFormatting sqref="A149">
    <cfRule type="cellIs" priority="21" dxfId="0" operator="greaterThan" stopIfTrue="1">
      <formula>"hoje()"</formula>
    </cfRule>
  </conditionalFormatting>
  <conditionalFormatting sqref="A149">
    <cfRule type="cellIs" priority="20" dxfId="0" operator="greaterThan" stopIfTrue="1">
      <formula>"hoje()"</formula>
    </cfRule>
  </conditionalFormatting>
  <conditionalFormatting sqref="A149">
    <cfRule type="cellIs" priority="19" dxfId="0" operator="greaterThan" stopIfTrue="1">
      <formula>"hoje()"</formula>
    </cfRule>
  </conditionalFormatting>
  <conditionalFormatting sqref="A149">
    <cfRule type="cellIs" priority="18" dxfId="0" operator="greaterThan" stopIfTrue="1">
      <formula>"hoje()"</formula>
    </cfRule>
  </conditionalFormatting>
  <conditionalFormatting sqref="A149">
    <cfRule type="cellIs" priority="17" dxfId="0" operator="greaterThan" stopIfTrue="1">
      <formula>"hoje()"</formula>
    </cfRule>
  </conditionalFormatting>
  <conditionalFormatting sqref="A149">
    <cfRule type="cellIs" priority="16" dxfId="0" operator="greaterThan" stopIfTrue="1">
      <formula>"hoje()"</formula>
    </cfRule>
  </conditionalFormatting>
  <conditionalFormatting sqref="A149">
    <cfRule type="cellIs" priority="15" dxfId="0" operator="greaterThan" stopIfTrue="1">
      <formula>"hoje()"</formula>
    </cfRule>
  </conditionalFormatting>
  <conditionalFormatting sqref="A149">
    <cfRule type="cellIs" priority="14" dxfId="0" operator="greaterThan" stopIfTrue="1">
      <formula>"hoje()"</formula>
    </cfRule>
  </conditionalFormatting>
  <conditionalFormatting sqref="A149">
    <cfRule type="cellIs" priority="13" dxfId="0" operator="greaterThan" stopIfTrue="1">
      <formula>"hoje()"</formula>
    </cfRule>
  </conditionalFormatting>
  <conditionalFormatting sqref="A149">
    <cfRule type="cellIs" priority="12" dxfId="0" operator="greaterThan" stopIfTrue="1">
      <formula>"hoje()"</formula>
    </cfRule>
  </conditionalFormatting>
  <conditionalFormatting sqref="A149">
    <cfRule type="cellIs" priority="11" dxfId="0" operator="greaterThan" stopIfTrue="1">
      <formula>"hoje()"</formula>
    </cfRule>
  </conditionalFormatting>
  <conditionalFormatting sqref="A149">
    <cfRule type="cellIs" priority="10" dxfId="0" operator="greaterThan" stopIfTrue="1">
      <formula>"hoje()"</formula>
    </cfRule>
  </conditionalFormatting>
  <conditionalFormatting sqref="A149">
    <cfRule type="cellIs" priority="9" dxfId="0" operator="greaterThan" stopIfTrue="1">
      <formula>"hoje()"</formula>
    </cfRule>
  </conditionalFormatting>
  <conditionalFormatting sqref="A149">
    <cfRule type="cellIs" priority="8" dxfId="0" operator="greaterThan" stopIfTrue="1">
      <formula>"hoje()"</formula>
    </cfRule>
  </conditionalFormatting>
  <conditionalFormatting sqref="A149">
    <cfRule type="cellIs" priority="7" dxfId="0" operator="greaterThan" stopIfTrue="1">
      <formula>"hoje()"</formula>
    </cfRule>
  </conditionalFormatting>
  <conditionalFormatting sqref="A149">
    <cfRule type="cellIs" priority="6" dxfId="0" operator="greaterThan" stopIfTrue="1">
      <formula>"hoje()"</formula>
    </cfRule>
  </conditionalFormatting>
  <conditionalFormatting sqref="A149">
    <cfRule type="cellIs" priority="5" dxfId="0" operator="greaterThan" stopIfTrue="1">
      <formula>"hoje()"</formula>
    </cfRule>
  </conditionalFormatting>
  <conditionalFormatting sqref="A149">
    <cfRule type="cellIs" priority="4" dxfId="0" operator="greaterThan" stopIfTrue="1">
      <formula>"hoje()"</formula>
    </cfRule>
  </conditionalFormatting>
  <conditionalFormatting sqref="A149">
    <cfRule type="cellIs" priority="3" dxfId="0" operator="greaterThan" stopIfTrue="1">
      <formula>"hoje()"</formula>
    </cfRule>
  </conditionalFormatting>
  <conditionalFormatting sqref="A149">
    <cfRule type="cellIs" priority="2" dxfId="0" operator="greaterThan" stopIfTrue="1">
      <formula>"hoje()"</formula>
    </cfRule>
  </conditionalFormatting>
  <conditionalFormatting sqref="A149">
    <cfRule type="cellIs" priority="1" dxfId="0" operator="greaterThan" stopIfTrue="1">
      <formula>"hoje()"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19.8515625" style="0" customWidth="1"/>
    <col min="2" max="2" width="23.421875" style="0" customWidth="1"/>
    <col min="3" max="3" width="24.421875" style="0" customWidth="1"/>
    <col min="4" max="4" width="23.57421875" style="0" customWidth="1"/>
    <col min="5" max="5" width="11.57421875" style="0" customWidth="1"/>
    <col min="6" max="6" width="17.00390625" style="0" customWidth="1"/>
  </cols>
  <sheetData>
    <row r="1" spans="1:7" ht="12.75">
      <c r="A1" s="16" t="s">
        <v>51</v>
      </c>
      <c r="B1" s="11"/>
      <c r="C1" s="11"/>
      <c r="D1" s="15"/>
      <c r="E1" s="11"/>
      <c r="F1" s="11"/>
      <c r="G1" s="11"/>
    </row>
    <row r="2" spans="1:7" ht="12.75">
      <c r="A2" s="16"/>
      <c r="B2" s="11"/>
      <c r="C2" s="11"/>
      <c r="D2" s="15"/>
      <c r="E2" s="11"/>
      <c r="F2" s="11"/>
      <c r="G2" s="11"/>
    </row>
    <row r="3" spans="1:7" ht="12.75">
      <c r="A3" s="47"/>
      <c r="B3" s="48"/>
      <c r="C3" s="48"/>
      <c r="D3" s="48"/>
      <c r="E3" s="48"/>
      <c r="F3" s="48"/>
      <c r="G3" s="11"/>
    </row>
    <row r="4" spans="1:7" ht="12.75">
      <c r="A4" s="26"/>
      <c r="B4" s="27"/>
      <c r="C4" s="27"/>
      <c r="D4" s="27"/>
      <c r="E4" s="27"/>
      <c r="F4" s="27"/>
      <c r="G4" s="11"/>
    </row>
    <row r="5" spans="1:7" ht="12.75">
      <c r="A5" s="26"/>
      <c r="B5" s="27"/>
      <c r="C5" s="27"/>
      <c r="D5" s="27"/>
      <c r="E5" s="27"/>
      <c r="F5" s="27"/>
      <c r="G5" s="11"/>
    </row>
    <row r="6" spans="1:7" ht="12.75">
      <c r="A6" s="26"/>
      <c r="B6" s="27"/>
      <c r="C6" s="27"/>
      <c r="D6" s="27"/>
      <c r="E6" s="27"/>
      <c r="F6" s="27"/>
      <c r="G6" s="11"/>
    </row>
    <row r="7" spans="1:7" ht="12.75">
      <c r="A7" s="26"/>
      <c r="B7" s="27"/>
      <c r="C7" s="27"/>
      <c r="D7" s="27"/>
      <c r="E7" s="27"/>
      <c r="F7" s="27"/>
      <c r="G7" s="11"/>
    </row>
    <row r="8" spans="1:7" ht="12.75">
      <c r="A8" s="26"/>
      <c r="B8" s="27"/>
      <c r="C8" s="27"/>
      <c r="D8" s="27"/>
      <c r="E8" s="27"/>
      <c r="F8" s="27"/>
      <c r="G8" s="11"/>
    </row>
    <row r="9" spans="1:7" ht="12.75">
      <c r="A9" s="26"/>
      <c r="B9" s="27"/>
      <c r="C9" s="27"/>
      <c r="D9" s="27"/>
      <c r="E9" s="27"/>
      <c r="F9" s="27"/>
      <c r="G9" s="11"/>
    </row>
    <row r="10" ht="13.5" thickBot="1"/>
    <row r="11" spans="1:4" ht="13.5" thickBot="1">
      <c r="A11" s="35" t="s">
        <v>7</v>
      </c>
      <c r="B11" s="31" t="s">
        <v>8</v>
      </c>
      <c r="C11" s="31" t="s">
        <v>9</v>
      </c>
      <c r="D11" s="32" t="s">
        <v>10</v>
      </c>
    </row>
    <row r="12" spans="1:4" ht="12.75">
      <c r="A12" s="36">
        <v>2001</v>
      </c>
      <c r="B12" s="29">
        <v>9347.603665969998</v>
      </c>
      <c r="C12" s="29">
        <v>10076.415578469998</v>
      </c>
      <c r="D12" s="29">
        <f aca="true" t="shared" si="0" ref="D12:D20">B12-C12</f>
        <v>-728.8119124999994</v>
      </c>
    </row>
    <row r="13" spans="1:4" ht="12.75">
      <c r="A13" s="36">
        <v>2002</v>
      </c>
      <c r="B13" s="29">
        <v>7565.00544143</v>
      </c>
      <c r="C13" s="29">
        <v>7901.057828999999</v>
      </c>
      <c r="D13" s="29">
        <f t="shared" si="0"/>
        <v>-336.05238756999915</v>
      </c>
    </row>
    <row r="14" spans="1:4" ht="12.75">
      <c r="A14" s="36">
        <v>2003</v>
      </c>
      <c r="B14" s="29">
        <v>11019.699106000002</v>
      </c>
      <c r="C14" s="29">
        <v>8599.17159591</v>
      </c>
      <c r="D14" s="29">
        <f t="shared" si="0"/>
        <v>2420.5275100900017</v>
      </c>
    </row>
    <row r="15" spans="1:4" ht="12.75">
      <c r="A15" s="36">
        <v>2004</v>
      </c>
      <c r="B15" s="29">
        <v>20218.691823</v>
      </c>
      <c r="C15" s="29">
        <v>19948.72425</v>
      </c>
      <c r="D15" s="29">
        <f t="shared" si="0"/>
        <v>269.9675730000017</v>
      </c>
    </row>
    <row r="16" spans="1:4" ht="12.75">
      <c r="A16" s="36">
        <v>2005</v>
      </c>
      <c r="B16" s="29">
        <f>SUM(Fluxo!B12:B23)</f>
        <v>36038.567130999996</v>
      </c>
      <c r="C16" s="29">
        <f>SUM(Fluxo!C12:C23)</f>
        <v>35331.865351</v>
      </c>
      <c r="D16" s="29">
        <f t="shared" si="0"/>
        <v>706.7017799999958</v>
      </c>
    </row>
    <row r="17" spans="1:4" ht="12.75">
      <c r="A17" s="36">
        <v>2006</v>
      </c>
      <c r="B17" s="29">
        <f>SUM(Fluxo!B24:B35)</f>
        <v>59845.016496000004</v>
      </c>
      <c r="C17" s="29">
        <f>SUM(Fluxo!C24:C35)</f>
        <v>49643.787299999996</v>
      </c>
      <c r="D17" s="29">
        <f t="shared" si="0"/>
        <v>10201.229196000008</v>
      </c>
    </row>
    <row r="18" spans="1:4" ht="12.75">
      <c r="A18" s="36">
        <v>2007</v>
      </c>
      <c r="B18" s="29">
        <f>SUM(Fluxo!B36:B47)</f>
        <v>154642.630164</v>
      </c>
      <c r="C18" s="29">
        <f>SUM(Fluxo!C36:C47)</f>
        <v>120765.043371</v>
      </c>
      <c r="D18" s="29">
        <f t="shared" si="0"/>
        <v>33877.586792999995</v>
      </c>
    </row>
    <row r="19" spans="1:4" ht="12.75">
      <c r="A19" s="36">
        <v>2008</v>
      </c>
      <c r="B19" s="29">
        <f>SUM(Fluxo!B48:B59)</f>
        <v>218687.286412</v>
      </c>
      <c r="C19" s="29">
        <f>SUM(Fluxo!C48:C59)</f>
        <v>219232.902913</v>
      </c>
      <c r="D19" s="29">
        <f t="shared" si="0"/>
        <v>-545.6165010000113</v>
      </c>
    </row>
    <row r="20" spans="1:4" ht="12.75">
      <c r="A20" s="36">
        <v>2009</v>
      </c>
      <c r="B20" s="29">
        <f>SUM(Fluxo!B60:B71)</f>
        <v>142533.518606</v>
      </c>
      <c r="C20" s="29">
        <f>SUM(Fluxo!C60:C71)</f>
        <v>115406.903114</v>
      </c>
      <c r="D20" s="29">
        <f t="shared" si="0"/>
        <v>27126.615491999997</v>
      </c>
    </row>
    <row r="21" spans="1:4" ht="12.75">
      <c r="A21" s="36">
        <v>2010</v>
      </c>
      <c r="B21" s="29">
        <f>SUM(Fluxo!B72:B83)</f>
        <v>128768.646168</v>
      </c>
      <c r="C21" s="29">
        <f>SUM(Fluxo!C72:C83)</f>
        <v>94154.29193300001</v>
      </c>
      <c r="D21" s="29">
        <f>B21-C21</f>
        <v>34614.35423499999</v>
      </c>
    </row>
    <row r="22" spans="1:4" ht="12.75">
      <c r="A22" s="36">
        <v>2011</v>
      </c>
      <c r="B22" s="29">
        <f>SUM(Fluxo!B84:B95)</f>
        <v>106206.37757499999</v>
      </c>
      <c r="C22" s="29">
        <f>SUM(Fluxo!C84:C95)</f>
        <v>115329.57085300001</v>
      </c>
      <c r="D22" s="29">
        <f>B22-C22</f>
        <v>-9123.19327800002</v>
      </c>
    </row>
    <row r="23" spans="1:4" ht="12.75">
      <c r="A23" s="36">
        <v>2012</v>
      </c>
      <c r="B23" s="29">
        <f>SUM(Fluxo!B96:B107)</f>
        <v>192724.09790900003</v>
      </c>
      <c r="C23" s="29">
        <f>SUM(Fluxo!C96:C107)</f>
        <v>172977.66597499998</v>
      </c>
      <c r="D23" s="29">
        <f>B23-C23</f>
        <v>19746.43193400005</v>
      </c>
    </row>
    <row r="24" spans="1:4" ht="12.75">
      <c r="A24" s="36">
        <v>2013</v>
      </c>
      <c r="B24" s="29">
        <f>SUM(Fluxo!B108:B119)</f>
        <v>314214.19130800007</v>
      </c>
      <c r="C24" s="29">
        <f>SUM(Fluxo!C108:C119)</f>
        <v>279636.11203200003</v>
      </c>
      <c r="D24" s="29">
        <f>B24-C24</f>
        <v>34578.07927600003</v>
      </c>
    </row>
    <row r="25" spans="1:4" ht="12.75">
      <c r="A25" s="36">
        <v>2014</v>
      </c>
      <c r="B25" s="29">
        <f>SUM(Fluxo!B120:B131)</f>
        <v>397605.802328</v>
      </c>
      <c r="C25" s="29">
        <f>SUM(Fluxo!C120:C131)</f>
        <v>350880.678298</v>
      </c>
      <c r="D25" s="29">
        <f>B25-C25</f>
        <v>46725.124030000006</v>
      </c>
    </row>
    <row r="26" spans="1:4" ht="12.75">
      <c r="A26" s="36">
        <v>2015</v>
      </c>
      <c r="B26" s="29">
        <f>SUM(Fluxo!B132:B143)</f>
        <v>242780.35675179932</v>
      </c>
      <c r="C26" s="29">
        <f>SUM(Fluxo!C132:C143)</f>
        <v>217257.75038173894</v>
      </c>
      <c r="D26" s="29">
        <f>B26-C26</f>
        <v>25522.606370060385</v>
      </c>
    </row>
    <row r="27" spans="1:4" ht="12.75">
      <c r="A27" s="36" t="s">
        <v>52</v>
      </c>
      <c r="B27" s="29">
        <f>SUM(Fluxo!B144:B155)</f>
        <v>93657.97551684658</v>
      </c>
      <c r="C27" s="29">
        <f>SUM(Fluxo!C144:C155)</f>
        <v>97550.90416296334</v>
      </c>
      <c r="D27" s="29">
        <f>B27-C27</f>
        <v>-3892.928646116765</v>
      </c>
    </row>
    <row r="28" ht="12.75">
      <c r="D28" s="5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8"/>
  <sheetViews>
    <sheetView showGridLines="0" zoomScalePageLayoutView="0" workbookViewId="0" topLeftCell="A1">
      <pane ySplit="12" topLeftCell="A67" activePane="bottomLeft" state="frozen"/>
      <selection pane="topLeft" activeCell="A1" sqref="A1"/>
      <selection pane="bottomLeft" activeCell="A78" sqref="A78"/>
    </sheetView>
  </sheetViews>
  <sheetFormatPr defaultColWidth="9.140625" defaultRowHeight="12.75"/>
  <cols>
    <col min="1" max="1" width="13.28125" style="0" customWidth="1"/>
    <col min="2" max="2" width="24.00390625" style="0" bestFit="1" customWidth="1"/>
    <col min="3" max="3" width="21.7109375" style="0" bestFit="1" customWidth="1"/>
    <col min="4" max="4" width="21.140625" style="0" customWidth="1"/>
    <col min="5" max="5" width="19.140625" style="0" customWidth="1"/>
    <col min="6" max="6" width="24.140625" style="0" customWidth="1"/>
    <col min="7" max="7" width="23.57421875" style="0" customWidth="1"/>
    <col min="8" max="8" width="19.421875" style="0" customWidth="1"/>
    <col min="9" max="9" width="21.7109375" style="0" bestFit="1" customWidth="1"/>
    <col min="10" max="10" width="18.421875" style="0" customWidth="1"/>
    <col min="11" max="11" width="19.8515625" style="0" customWidth="1"/>
    <col min="12" max="12" width="21.7109375" style="0" bestFit="1" customWidth="1"/>
    <col min="13" max="13" width="17.140625" style="0" customWidth="1"/>
    <col min="14" max="14" width="21.7109375" style="0" bestFit="1" customWidth="1"/>
    <col min="15" max="15" width="24.00390625" style="0" bestFit="1" customWidth="1"/>
    <col min="16" max="16" width="20.00390625" style="0" customWidth="1"/>
    <col min="17" max="17" width="19.00390625" style="0" customWidth="1"/>
    <col min="18" max="18" width="17.28125" style="0" customWidth="1"/>
    <col min="19" max="19" width="21.7109375" style="0" bestFit="1" customWidth="1"/>
    <col min="20" max="20" width="21.421875" style="0" customWidth="1"/>
    <col min="21" max="21" width="22.8515625" style="0" bestFit="1" customWidth="1"/>
    <col min="22" max="22" width="22.7109375" style="0" bestFit="1" customWidth="1"/>
    <col min="23" max="23" width="19.140625" style="0" customWidth="1"/>
    <col min="24" max="24" width="17.421875" style="0" customWidth="1"/>
    <col min="25" max="25" width="24.00390625" style="0" bestFit="1" customWidth="1"/>
    <col min="26" max="27" width="24.140625" style="0" customWidth="1"/>
    <col min="28" max="28" width="20.57421875" style="0" customWidth="1"/>
    <col min="29" max="29" width="19.7109375" style="0" customWidth="1"/>
    <col min="30" max="32" width="21.7109375" style="0" bestFit="1" customWidth="1"/>
  </cols>
  <sheetData>
    <row r="1" spans="1:10" ht="12.75">
      <c r="A1" s="16" t="s">
        <v>40</v>
      </c>
      <c r="B1" s="1"/>
      <c r="C1" s="2"/>
      <c r="D1" s="2"/>
      <c r="E1" s="2"/>
      <c r="F1" s="2"/>
      <c r="G1" s="2"/>
      <c r="H1" s="3"/>
      <c r="I1" s="2"/>
      <c r="J1" s="2"/>
    </row>
    <row r="2" spans="1:10" ht="12.75">
      <c r="A2" s="16"/>
      <c r="B2" s="1"/>
      <c r="C2" s="2"/>
      <c r="D2" s="2"/>
      <c r="E2" s="2"/>
      <c r="F2" s="2"/>
      <c r="G2" s="2"/>
      <c r="H2" s="3"/>
      <c r="I2" s="2"/>
      <c r="J2" s="2"/>
    </row>
    <row r="3" spans="1:10" ht="12.75">
      <c r="A3" s="47"/>
      <c r="B3" s="48"/>
      <c r="C3" s="48"/>
      <c r="D3" s="48"/>
      <c r="E3" s="48"/>
      <c r="F3" s="48"/>
      <c r="G3" s="48"/>
      <c r="H3" s="48"/>
      <c r="I3" s="2"/>
      <c r="J3" s="2"/>
    </row>
    <row r="4" spans="1:10" ht="12.75">
      <c r="A4" s="26"/>
      <c r="B4" s="27"/>
      <c r="C4" s="27"/>
      <c r="D4" s="27"/>
      <c r="E4" s="27"/>
      <c r="F4" s="27"/>
      <c r="G4" s="27"/>
      <c r="H4" s="27"/>
      <c r="I4" s="2"/>
      <c r="J4" s="2"/>
    </row>
    <row r="5" spans="1:10" ht="12.75">
      <c r="A5" s="26"/>
      <c r="B5" s="27"/>
      <c r="C5" s="27"/>
      <c r="D5" s="27"/>
      <c r="E5" s="27"/>
      <c r="F5" s="27"/>
      <c r="G5" s="27"/>
      <c r="H5" s="27"/>
      <c r="I5" s="2"/>
      <c r="J5" s="2"/>
    </row>
    <row r="6" spans="1:10" ht="12.75" hidden="1">
      <c r="A6" s="26"/>
      <c r="B6" s="27"/>
      <c r="C6" s="27"/>
      <c r="D6" s="27"/>
      <c r="E6" s="27"/>
      <c r="F6" s="27"/>
      <c r="G6" s="27"/>
      <c r="H6" s="27"/>
      <c r="I6" s="2"/>
      <c r="J6" s="2"/>
    </row>
    <row r="7" spans="1:10" ht="12.75">
      <c r="A7" s="26"/>
      <c r="B7" s="27"/>
      <c r="C7" s="27"/>
      <c r="D7" s="27"/>
      <c r="E7" s="27"/>
      <c r="F7" s="27"/>
      <c r="G7" s="27"/>
      <c r="H7" s="27"/>
      <c r="I7" s="2"/>
      <c r="J7" s="2"/>
    </row>
    <row r="8" spans="1:10" ht="12.75">
      <c r="A8" s="16"/>
      <c r="B8" s="1"/>
      <c r="C8" s="2"/>
      <c r="D8" s="2"/>
      <c r="E8" s="2"/>
      <c r="F8" s="2"/>
      <c r="G8" s="2"/>
      <c r="H8" s="3"/>
      <c r="I8" s="2"/>
      <c r="J8" s="2"/>
    </row>
    <row r="9" spans="1:10" ht="12.75">
      <c r="A9" s="16"/>
      <c r="B9" s="1"/>
      <c r="C9" s="2"/>
      <c r="D9" s="2"/>
      <c r="E9" s="2"/>
      <c r="F9" s="2"/>
      <c r="G9" s="2"/>
      <c r="H9" s="3"/>
      <c r="I9" s="2"/>
      <c r="J9" s="2"/>
    </row>
    <row r="10" spans="1:10" ht="12.75">
      <c r="A10" s="16"/>
      <c r="B10" s="1"/>
      <c r="C10" s="2"/>
      <c r="D10" s="2"/>
      <c r="E10" s="2"/>
      <c r="F10" s="2"/>
      <c r="G10" s="2"/>
      <c r="H10" s="3"/>
      <c r="I10" s="2"/>
      <c r="J10" s="2"/>
    </row>
    <row r="11" spans="1:10" ht="13.5" thickBot="1">
      <c r="A11" s="52" t="s">
        <v>39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32" ht="64.5" thickBot="1">
      <c r="A12" s="30" t="s">
        <v>0</v>
      </c>
      <c r="B12" s="34" t="s">
        <v>15</v>
      </c>
      <c r="C12" s="34" t="s">
        <v>23</v>
      </c>
      <c r="D12" s="34" t="s">
        <v>16</v>
      </c>
      <c r="E12" s="34" t="s">
        <v>24</v>
      </c>
      <c r="F12" s="34" t="s">
        <v>25</v>
      </c>
      <c r="G12" s="34" t="s">
        <v>26</v>
      </c>
      <c r="H12" s="34" t="s">
        <v>35</v>
      </c>
      <c r="I12" s="34" t="s">
        <v>36</v>
      </c>
      <c r="J12" s="34" t="s">
        <v>37</v>
      </c>
      <c r="K12" s="34" t="s">
        <v>49</v>
      </c>
      <c r="L12" s="34" t="s">
        <v>27</v>
      </c>
      <c r="M12" s="34" t="s">
        <v>28</v>
      </c>
      <c r="N12" s="34" t="s">
        <v>29</v>
      </c>
      <c r="O12" s="34" t="s">
        <v>30</v>
      </c>
      <c r="P12" s="34" t="s">
        <v>48</v>
      </c>
      <c r="Q12" s="34" t="s">
        <v>31</v>
      </c>
      <c r="R12" s="34" t="s">
        <v>17</v>
      </c>
      <c r="S12" s="34" t="s">
        <v>32</v>
      </c>
      <c r="T12" s="34" t="s">
        <v>33</v>
      </c>
      <c r="U12" s="34" t="s">
        <v>42</v>
      </c>
      <c r="V12" s="34" t="s">
        <v>43</v>
      </c>
      <c r="W12" s="34" t="s">
        <v>44</v>
      </c>
      <c r="X12" s="34" t="s">
        <v>45</v>
      </c>
      <c r="Y12" s="34" t="s">
        <v>46</v>
      </c>
      <c r="Z12" s="34" t="s">
        <v>47</v>
      </c>
      <c r="AA12" s="34" t="s">
        <v>18</v>
      </c>
      <c r="AB12" s="34" t="s">
        <v>19</v>
      </c>
      <c r="AC12" s="34" t="s">
        <v>34</v>
      </c>
      <c r="AD12" s="34" t="s">
        <v>20</v>
      </c>
      <c r="AE12" s="34" t="s">
        <v>21</v>
      </c>
      <c r="AF12" s="34" t="s">
        <v>22</v>
      </c>
    </row>
    <row r="13" spans="1:32" ht="12.75">
      <c r="A13" s="28">
        <v>40544</v>
      </c>
      <c r="B13" s="29">
        <f>(398.90232607+0.952924239+0.12505782)/'US$'!B201</f>
        <v>239.02253384068365</v>
      </c>
      <c r="C13" s="45">
        <f>3.061690935/'US$'!B201</f>
        <v>1.8296228845464324</v>
      </c>
      <c r="D13" s="45">
        <f>2.64844937/'US$'!B201</f>
        <v>1.5826756125253973</v>
      </c>
      <c r="E13" s="45">
        <f>0.858309018/'US$'!B201</f>
        <v>0.5129132413051273</v>
      </c>
      <c r="F13" s="45">
        <f>0.00028952/'US$'!B201</f>
        <v>0.0001730130273694275</v>
      </c>
      <c r="G13" s="45">
        <f>0.130384566/'US$'!B201</f>
        <v>0.07791595912513447</v>
      </c>
      <c r="H13" s="45">
        <f>30.847121922/'US$'!B201</f>
        <v>18.433800598780923</v>
      </c>
      <c r="I13" s="45">
        <f>3.634051831/'US$'!B201</f>
        <v>2.171657601888371</v>
      </c>
      <c r="J13" s="45">
        <f>0.214564809/'US$'!B201</f>
        <v>0.12822087307278593</v>
      </c>
      <c r="K13" s="29">
        <f>0.179324434/'US$'!B201</f>
        <v>0.10716172702282778</v>
      </c>
      <c r="L13" s="45">
        <f>0.253084446/'US$'!B201</f>
        <v>0.1512396593761205</v>
      </c>
      <c r="M13" s="45">
        <f>0/'US$'!B201</f>
        <v>0</v>
      </c>
      <c r="N13" s="45">
        <f>0.79892487/'US$'!B201</f>
        <v>0.4774261204732879</v>
      </c>
      <c r="O13" s="45">
        <f>154.103204076/'US$'!B201</f>
        <v>92.0898793330943</v>
      </c>
      <c r="P13" s="45">
        <f>0/'US$'!B201</f>
        <v>0</v>
      </c>
      <c r="Q13" s="45">
        <f>0.546337873/'US$'!B201</f>
        <v>0.32648372953268795</v>
      </c>
      <c r="R13" s="45">
        <f>0.530748836/'US$'!B201</f>
        <v>0.31716794310983626</v>
      </c>
      <c r="S13" s="45">
        <f>0.621891514/'US$'!B201</f>
        <v>0.37163350902354486</v>
      </c>
      <c r="T13" s="45">
        <f>4.712119535/'US$'!B201</f>
        <v>2.8158955031672046</v>
      </c>
      <c r="U13" s="45">
        <f>20.679915433/'US$'!B201</f>
        <v>12.358022847496116</v>
      </c>
      <c r="V13" s="45">
        <f>26.058145334/'US$'!B201</f>
        <v>15.57197641568065</v>
      </c>
      <c r="W13" s="45">
        <f>1.911338049/'US$'!B201</f>
        <v>1.1421883883112227</v>
      </c>
      <c r="X13" s="45">
        <f>2.236049663/'US$'!B201</f>
        <v>1.3362314228516794</v>
      </c>
      <c r="Y13" s="45">
        <f>169.966263101/'US$'!B201</f>
        <v>101.56941741424644</v>
      </c>
      <c r="Z13" s="45">
        <f>66.701193839/'US$'!B201</f>
        <v>39.85968318333931</v>
      </c>
      <c r="AA13" s="45">
        <f>0.014197028/'US$'!B201</f>
        <v>0.008483941675630453</v>
      </c>
      <c r="AB13" s="45">
        <f>0.632005238/'US$'!B201</f>
        <v>0.37767732640133855</v>
      </c>
      <c r="AC13" s="45">
        <f>0.781414274/'US$'!B201</f>
        <v>0.4669620377674196</v>
      </c>
      <c r="AD13" s="45">
        <f>7.616957992/'US$'!B201</f>
        <v>4.551785581450938</v>
      </c>
      <c r="AE13" s="45">
        <f>3.41496402/'US$'!B201</f>
        <v>2.0407338472570817</v>
      </c>
      <c r="AF13" s="45">
        <f>2.838420131/'US$'!B201</f>
        <v>1.6961994328911199</v>
      </c>
    </row>
    <row r="14" spans="1:32" ht="12.75">
      <c r="A14" s="28">
        <v>40575</v>
      </c>
      <c r="B14" s="29">
        <f>(445.340437113+0.945445046+0.08446912)/'US$'!B202</f>
        <v>268.70355843908015</v>
      </c>
      <c r="C14" s="45">
        <f>3.417446635/'US$'!B202</f>
        <v>2.057215648326511</v>
      </c>
      <c r="D14" s="45">
        <f>2.735672319/'US$'!B202</f>
        <v>1.6468049115097518</v>
      </c>
      <c r="E14" s="45">
        <f>0.574507308/'US$'!B202</f>
        <v>0.3458387358535998</v>
      </c>
      <c r="F14" s="45">
        <f>0.000291952/'US$'!B202</f>
        <v>0.0001757476522995425</v>
      </c>
      <c r="G14" s="45">
        <f>0.081870738/'US$'!B202</f>
        <v>0.04928409463038767</v>
      </c>
      <c r="H14" s="45">
        <f>30.452781138/'US$'!B202</f>
        <v>18.331796976884178</v>
      </c>
      <c r="I14" s="45">
        <f>8.100394854/'US$'!B202</f>
        <v>4.8762309499157235</v>
      </c>
      <c r="J14" s="45">
        <f>0.214773054/'US$'!B202</f>
        <v>0.12928789670117988</v>
      </c>
      <c r="K14" s="29">
        <f>0.179279106/'US$'!B202</f>
        <v>0.10792144594269203</v>
      </c>
      <c r="L14" s="45">
        <f>0.255079612/'US$'!B202</f>
        <v>0.15355141584396823</v>
      </c>
      <c r="M14" s="45">
        <f>0/'US$'!B202</f>
        <v>0</v>
      </c>
      <c r="N14" s="45">
        <f>0.939451801/'US$'!B202</f>
        <v>0.5655260058993499</v>
      </c>
      <c r="O14" s="45">
        <f>156.510809895/'US$'!B202</f>
        <v>94.21551281904647</v>
      </c>
      <c r="P14" s="45">
        <f>0/'US$'!B202</f>
        <v>0</v>
      </c>
      <c r="Q14" s="45">
        <f>0.534823174/'US$'!B202</f>
        <v>0.32194990007223695</v>
      </c>
      <c r="R14" s="45">
        <f>0.662520701/'US$'!B202</f>
        <v>0.3988205520105948</v>
      </c>
      <c r="S14" s="45">
        <f>0.672745845/'US$'!B202</f>
        <v>0.40497582771490487</v>
      </c>
      <c r="T14" s="45">
        <f>5.338213148/'US$'!B202</f>
        <v>3.2134680640500846</v>
      </c>
      <c r="U14" s="45">
        <f>14.781752768/'US$'!B202</f>
        <v>8.898237881049845</v>
      </c>
      <c r="V14" s="45">
        <f>29.560969601/'US$'!B202</f>
        <v>17.794949193956175</v>
      </c>
      <c r="W14" s="45">
        <f>1.834193632/'US$'!B202</f>
        <v>1.1041377510233565</v>
      </c>
      <c r="X14" s="45">
        <f>2.650876397/'US$'!B202</f>
        <v>1.5957599307729353</v>
      </c>
      <c r="Y14" s="45">
        <f>208.585052219/'US$'!B202</f>
        <v>125.56287756982904</v>
      </c>
      <c r="Z14" s="45">
        <f>55.68370109/'US$'!B202</f>
        <v>33.520166801107635</v>
      </c>
      <c r="AA14" s="45">
        <f>0.014865349/'US$'!B202</f>
        <v>0.008948560679027209</v>
      </c>
      <c r="AB14" s="45">
        <f>0.793750773/'US$'!B202</f>
        <v>0.47781770587527084</v>
      </c>
      <c r="AC14" s="45">
        <f>0.776783273/'US$'!B202</f>
        <v>0.4676037039489526</v>
      </c>
      <c r="AD14" s="45">
        <f>8.914799114/'US$'!B202</f>
        <v>5.36648152781122</v>
      </c>
      <c r="AE14" s="45">
        <f>3.780465682/'US$'!B202</f>
        <v>2.2757438490248014</v>
      </c>
      <c r="AF14" s="45">
        <f>2.537668505/'US$'!B202</f>
        <v>1.5276116692752228</v>
      </c>
    </row>
    <row r="15" spans="1:32" ht="12.75">
      <c r="A15" s="28">
        <v>40603</v>
      </c>
      <c r="B15" s="29">
        <f>(457.255236507+0.985160869+0.107293335)/'US$'!B203</f>
        <v>281.41934715478607</v>
      </c>
      <c r="C15" s="45">
        <f>3.299091905/'US$'!B203</f>
        <v>2.0255982716276786</v>
      </c>
      <c r="D15" s="45">
        <f>2.569159796/'US$'!B203</f>
        <v>1.5774297267759563</v>
      </c>
      <c r="E15" s="45">
        <f>0.564110809/'US$'!B203</f>
        <v>0.3463564861546018</v>
      </c>
      <c r="F15" s="45">
        <f>0.000294623/'US$'!B203</f>
        <v>0.00018089457849818872</v>
      </c>
      <c r="G15" s="45">
        <f>0.566570725/'US$'!B203</f>
        <v>0.347866841652852</v>
      </c>
      <c r="H15" s="45">
        <f>32.165806841/'US$'!B203</f>
        <v>19.749374864001965</v>
      </c>
      <c r="I15" s="45">
        <f>8.369108508/'US$'!B203</f>
        <v>5.138520604162829</v>
      </c>
      <c r="J15" s="45">
        <f>0.08981832/'US$'!B203</f>
        <v>0.05514724627003131</v>
      </c>
      <c r="K15" s="29">
        <f>0.000637316/'US$'!B203</f>
        <v>0.00039130349358383983</v>
      </c>
      <c r="L15" s="45">
        <f>0.257269129/'US$'!B203</f>
        <v>0.15795980168232332</v>
      </c>
      <c r="M15" s="45">
        <f>0/'US$'!B203</f>
        <v>0</v>
      </c>
      <c r="N15" s="45">
        <f>0.970049744/'US$'!B203</f>
        <v>0.5955975587892184</v>
      </c>
      <c r="O15" s="45">
        <f>158.738162361/'US$'!B203</f>
        <v>97.46310699392153</v>
      </c>
      <c r="P15" s="45">
        <f>0/'US$'!B203</f>
        <v>0</v>
      </c>
      <c r="Q15" s="45">
        <f>0.772851486/'US$'!B203</f>
        <v>0.47452046785780067</v>
      </c>
      <c r="R15" s="45">
        <f>0.621622837/'US$'!B203</f>
        <v>0.3816681015533861</v>
      </c>
      <c r="S15" s="45">
        <f>0.527286313/'US$'!B203</f>
        <v>0.3237467385031006</v>
      </c>
      <c r="T15" s="45">
        <f>6.912299018/'US$'!B203</f>
        <v>4.24405907656413</v>
      </c>
      <c r="U15" s="45">
        <f>18.973832066/'US$'!B203</f>
        <v>11.649678925523423</v>
      </c>
      <c r="V15" s="45">
        <f>34.961311636/'US$'!B203</f>
        <v>21.465777390556884</v>
      </c>
      <c r="W15" s="45">
        <f>2.977995189/'US$'!B203</f>
        <v>1.8284491858537484</v>
      </c>
      <c r="X15" s="45">
        <f>2.572065637/'US$'!B203</f>
        <v>1.5792138742555413</v>
      </c>
      <c r="Y15" s="45">
        <f>245.121916548/'US$'!B203</f>
        <v>150.501575826119</v>
      </c>
      <c r="Z15" s="45">
        <f>56.774195045/'US$'!B203</f>
        <v>34.85859584024068</v>
      </c>
      <c r="AA15" s="45">
        <f>0.014881104/'US$'!B203</f>
        <v>0.00913679867378891</v>
      </c>
      <c r="AB15" s="45">
        <f>0.742532983/'US$'!B203</f>
        <v>0.4559053128261804</v>
      </c>
      <c r="AC15" s="45">
        <f>0.777273696/'US$'!B203</f>
        <v>0.4772356456069257</v>
      </c>
      <c r="AD15" s="45">
        <f>9.735832246/'US$'!B203</f>
        <v>5.977670685823049</v>
      </c>
      <c r="AE15" s="45">
        <f>2.622050846/'US$'!B203</f>
        <v>1.609904123534107</v>
      </c>
      <c r="AF15" s="45">
        <f>1.977849194/'US$'!B203</f>
        <v>1.214372931786087</v>
      </c>
    </row>
    <row r="16" spans="1:32" ht="12.75">
      <c r="A16" s="28">
        <v>40634</v>
      </c>
      <c r="B16" s="29">
        <f>(443.030468651+1.039558625+0.111832683)/'US$'!B204</f>
        <v>282.3249602485222</v>
      </c>
      <c r="C16" s="45">
        <f>3.588968328/'US$'!B204</f>
        <v>2.281172267209051</v>
      </c>
      <c r="D16" s="45">
        <f>3.084811297/'US$'!B204</f>
        <v>1.9607266872179496</v>
      </c>
      <c r="E16" s="45">
        <f>0.589132636/'US$'!B204</f>
        <v>0.37445664272548146</v>
      </c>
      <c r="F16" s="45">
        <f>0.000297086/'US$'!B204</f>
        <v>0.00018882984809000193</v>
      </c>
      <c r="G16" s="45">
        <f>0.524738611/'US$'!B204</f>
        <v>0.3335273698595309</v>
      </c>
      <c r="H16" s="45">
        <f>30.854083851/'US$'!B204</f>
        <v>19.611062004067882</v>
      </c>
      <c r="I16" s="45">
        <f>8.591915781/'US$'!B204</f>
        <v>5.4610791209559535</v>
      </c>
      <c r="J16" s="45">
        <f>0.214073367/'US$'!B204</f>
        <v>0.13606646348439586</v>
      </c>
      <c r="K16" s="29">
        <f>0.179880562/'US$'!B204</f>
        <v>0.1143332879933897</v>
      </c>
      <c r="L16" s="45">
        <f>0.259288078/'US$'!B204</f>
        <v>0.16480523612788406</v>
      </c>
      <c r="M16" s="45">
        <f>0/'US$'!B204</f>
        <v>0</v>
      </c>
      <c r="N16" s="45">
        <f>0.940358846/'US$'!B204</f>
        <v>0.5976983703044556</v>
      </c>
      <c r="O16" s="45">
        <f>164.528247833/'US$'!B204</f>
        <v>104.57525445433166</v>
      </c>
      <c r="P16" s="45">
        <f>0/'US$'!B204</f>
        <v>0</v>
      </c>
      <c r="Q16" s="45">
        <f>0.5605246/'US$'!B204</f>
        <v>0.3562731837538931</v>
      </c>
      <c r="R16" s="45">
        <f>1.045171405/'US$'!B204</f>
        <v>0.664317933642662</v>
      </c>
      <c r="S16" s="45">
        <f>0.704402157/'US$'!B204</f>
        <v>0.44772272103222527</v>
      </c>
      <c r="T16" s="45">
        <f>6.704898877/'US$'!B204</f>
        <v>4.261678559079642</v>
      </c>
      <c r="U16" s="45">
        <f>20.825459589/'US$'!B204</f>
        <v>13.23680136591877</v>
      </c>
      <c r="V16" s="45">
        <f>37.682136431/'US$'!B204</f>
        <v>23.951017880251705</v>
      </c>
      <c r="W16" s="45">
        <f>1.41362395/'US$'!B204</f>
        <v>0.8985088349329435</v>
      </c>
      <c r="X16" s="45">
        <f>3.682548402/'US$'!B204</f>
        <v>2.3406523879743215</v>
      </c>
      <c r="Y16" s="45">
        <f>254.39308285/'US$'!B204</f>
        <v>161.69394447975594</v>
      </c>
      <c r="Z16" s="45">
        <f>82.959352283/'US$'!B204</f>
        <v>52.729519025614955</v>
      </c>
      <c r="AA16" s="45">
        <f>0.015037127/'US$'!B204</f>
        <v>0.009557698468187886</v>
      </c>
      <c r="AB16" s="45">
        <f>0.745100373/'US$'!B204</f>
        <v>0.4735907792537978</v>
      </c>
      <c r="AC16" s="45">
        <f>0.768201174/'US$'!B204</f>
        <v>0.4882738028348058</v>
      </c>
      <c r="AD16" s="45">
        <f>9.100130777/'US$'!B204</f>
        <v>5.7841039706349715</v>
      </c>
      <c r="AE16" s="45">
        <f>4.057426378/'US$'!B204</f>
        <v>2.5789273361723764</v>
      </c>
      <c r="AF16" s="45">
        <f>2.993587828/'US$'!B204</f>
        <v>1.9027444403483125</v>
      </c>
    </row>
    <row r="17" spans="1:32" ht="12.75">
      <c r="A17" s="28">
        <v>40664</v>
      </c>
      <c r="B17" s="29">
        <f>(450.775956182+1.037322629+0.129154814)/'US$'!B205</f>
        <v>286.0576198651813</v>
      </c>
      <c r="C17" s="45">
        <f>3.15839482/'US$'!B205</f>
        <v>1.9991105892778023</v>
      </c>
      <c r="D17" s="45">
        <f>2.532721452/'US$'!B205</f>
        <v>1.6030897221343123</v>
      </c>
      <c r="E17" s="45">
        <f>0.632080422/'US$'!B205</f>
        <v>0.40007622127982784</v>
      </c>
      <c r="F17" s="45">
        <f>0.000300006/'US$'!B205</f>
        <v>0.00018988923349579087</v>
      </c>
      <c r="G17" s="45">
        <f>0.603714835/'US$'!B205</f>
        <v>0.3821221817836572</v>
      </c>
      <c r="H17" s="45">
        <f>32.565228804/'US$'!B205</f>
        <v>20.612208876511172</v>
      </c>
      <c r="I17" s="45">
        <f>9.016997833/'US$'!B205</f>
        <v>5.707321876701056</v>
      </c>
      <c r="J17" s="45">
        <f>0.232080498/'US$'!B205</f>
        <v>0.1468956883347047</v>
      </c>
      <c r="K17" s="29">
        <f>0.000637316/'US$'!B205</f>
        <v>0.0004033900879802519</v>
      </c>
      <c r="L17" s="45">
        <f>0.286736296/'US$'!B205</f>
        <v>0.1814901550731059</v>
      </c>
      <c r="M17" s="45">
        <f>0/'US$'!B205</f>
        <v>0</v>
      </c>
      <c r="N17" s="45">
        <f>0.797142169/'US$'!B205</f>
        <v>0.5045522938160643</v>
      </c>
      <c r="O17" s="45">
        <f>179.818638804/'US$'!B205</f>
        <v>113.81646863978732</v>
      </c>
      <c r="P17" s="45">
        <f>0/'US$'!B205</f>
        <v>0</v>
      </c>
      <c r="Q17" s="45">
        <f>0.681954838/'US$'!B205</f>
        <v>0.43164430533578074</v>
      </c>
      <c r="R17" s="45">
        <f>1.264729768/'US$'!B205</f>
        <v>0.8005125438318881</v>
      </c>
      <c r="S17" s="45">
        <f>0.563671468/'US$'!B205</f>
        <v>0.3567766744730679</v>
      </c>
      <c r="T17" s="45">
        <f>6.99395881/'US$'!B205</f>
        <v>4.4268363883790105</v>
      </c>
      <c r="U17" s="45">
        <f>20.692383662/'US$'!B205</f>
        <v>13.097274297107411</v>
      </c>
      <c r="V17" s="45">
        <f>30.563277226/'US$'!B205</f>
        <v>19.345070717133996</v>
      </c>
      <c r="W17" s="45">
        <f>1.590088101/'US$'!B205</f>
        <v>1.0064485733274258</v>
      </c>
      <c r="X17" s="45">
        <f>3.412136654/'US$'!B205</f>
        <v>2.1597168516994745</v>
      </c>
      <c r="Y17" s="45">
        <f>244.503845831/'US$'!B205</f>
        <v>154.75906439078423</v>
      </c>
      <c r="Z17" s="45">
        <f>60.421101441/'US$'!B205</f>
        <v>38.243623926197856</v>
      </c>
      <c r="AA17" s="45">
        <f>0.013957977/'US$'!B205</f>
        <v>0.008834721817836571</v>
      </c>
      <c r="AB17" s="45">
        <f>0.740552937/'US$'!B205</f>
        <v>0.4687340572188113</v>
      </c>
      <c r="AC17" s="45">
        <f>0.772823694/'US$'!B205</f>
        <v>0.4891598797392239</v>
      </c>
      <c r="AD17" s="45">
        <f>19.730793916/'US$'!B205</f>
        <v>12.488634670548768</v>
      </c>
      <c r="AE17" s="45">
        <f>3.243214643/'US$'!B205</f>
        <v>2.0527974194569274</v>
      </c>
      <c r="AF17" s="45">
        <f>2.444912997/'US$'!B205</f>
        <v>1.5475112329894296</v>
      </c>
    </row>
    <row r="18" spans="1:32" ht="12.75">
      <c r="A18" s="28">
        <v>40695</v>
      </c>
      <c r="B18" s="29">
        <f>(419.380859563+1.015151844+0.132669235)/'US$'!B206</f>
        <v>269.37971983985653</v>
      </c>
      <c r="C18" s="45">
        <f>3.900935358/'US$'!B206</f>
        <v>2.4988375875984885</v>
      </c>
      <c r="D18" s="45">
        <f>2.944735294/'US$'!B206</f>
        <v>1.8863207315354558</v>
      </c>
      <c r="E18" s="45">
        <f>0.594596207/'US$'!B206</f>
        <v>0.380882843507783</v>
      </c>
      <c r="F18" s="45">
        <f>0.00004038/'US$'!B206</f>
        <v>2.5866376273140737E-05</v>
      </c>
      <c r="G18" s="45">
        <f>0.611540729/'US$'!B206</f>
        <v>0.3917370629684197</v>
      </c>
      <c r="H18" s="45">
        <f>34.107644233/'US$'!B206</f>
        <v>21.84846853692909</v>
      </c>
      <c r="I18" s="45">
        <f>9.39773581/'US$'!B206</f>
        <v>6.019944788930882</v>
      </c>
      <c r="J18" s="45">
        <f>0.212199368/'US$'!B206</f>
        <v>0.13592938825187367</v>
      </c>
      <c r="K18" s="29">
        <f>0.000637316/'US$'!B206</f>
        <v>0.00040824803023509063</v>
      </c>
      <c r="L18" s="45">
        <f>0.313684549/'US$'!B206</f>
        <v>0.20093815194414194</v>
      </c>
      <c r="M18" s="45">
        <f>0/'US$'!B206</f>
        <v>0</v>
      </c>
      <c r="N18" s="45">
        <f>0.743563377/'US$'!B206</f>
        <v>0.4763073326500544</v>
      </c>
      <c r="O18" s="45">
        <f>179.406867458/'US$'!B206</f>
        <v>114.92336650951252</v>
      </c>
      <c r="P18" s="45">
        <f>0/'US$'!B206</f>
        <v>0</v>
      </c>
      <c r="Q18" s="45">
        <f>0.528972285/'US$'!B206</f>
        <v>0.33884586829799507</v>
      </c>
      <c r="R18" s="45">
        <f>1.359533177/'US$'!B206</f>
        <v>0.8708815431426559</v>
      </c>
      <c r="S18" s="45">
        <f>0.5078902/'US$'!B206</f>
        <v>0.3253412337454359</v>
      </c>
      <c r="T18" s="45">
        <f>7.14509685/'US$'!B206</f>
        <v>4.5769629427967455</v>
      </c>
      <c r="U18" s="45">
        <f>23.426297657/'US$'!B206</f>
        <v>15.006276123887003</v>
      </c>
      <c r="V18" s="45">
        <f>35.138558231/'US$'!B206</f>
        <v>22.508845193133048</v>
      </c>
      <c r="W18" s="45">
        <f>2.476222056/'US$'!B206</f>
        <v>1.5862033540452247</v>
      </c>
      <c r="X18" s="45">
        <f>3.807735781/'US$'!B206</f>
        <v>2.4391363660239573</v>
      </c>
      <c r="Y18" s="45">
        <f>270.961501493/'US$'!B206</f>
        <v>173.57088046441612</v>
      </c>
      <c r="Z18" s="45">
        <f>59.862418122/'US$'!B206</f>
        <v>38.34630588815579</v>
      </c>
      <c r="AA18" s="45">
        <f>0.014836878/'US$'!B206</f>
        <v>0.009504117609378002</v>
      </c>
      <c r="AB18" s="45">
        <f>1.148157468/'US$'!B206</f>
        <v>0.7354797693933764</v>
      </c>
      <c r="AC18" s="45">
        <f>0.701090648/'US$'!B206</f>
        <v>0.44910040868618284</v>
      </c>
      <c r="AD18" s="45">
        <f>9.581146069/'US$'!B206</f>
        <v>6.137432623790917</v>
      </c>
      <c r="AE18" s="45">
        <f>13.480676096/'US$'!B206</f>
        <v>8.635369992953686</v>
      </c>
      <c r="AF18" s="45">
        <f>2.850584311/'US$'!B206</f>
        <v>1.8260100640573955</v>
      </c>
    </row>
    <row r="19" spans="1:32" ht="12.75">
      <c r="A19" s="28">
        <v>40725</v>
      </c>
      <c r="B19" s="29">
        <f>(356.973518761+0.940388827+0.123416017)/'US$'!B207</f>
        <v>230.05675230032767</v>
      </c>
      <c r="C19" s="45">
        <f>3.619798136/'US$'!B207</f>
        <v>2.3258999781533123</v>
      </c>
      <c r="D19" s="45">
        <f>3.051595314/'US$'!B207</f>
        <v>1.9608014611578746</v>
      </c>
      <c r="E19" s="45">
        <f>0.262740257/'US$'!B207</f>
        <v>0.16882365674998392</v>
      </c>
      <c r="F19" s="45">
        <f>0.000027895/'US$'!B207</f>
        <v>1.7923922122984E-05</v>
      </c>
      <c r="G19" s="45">
        <f>0.616358332/'US$'!B207</f>
        <v>0.39604082246353534</v>
      </c>
      <c r="H19" s="45">
        <f>34.190399007/'US$'!B207</f>
        <v>21.969028469446766</v>
      </c>
      <c r="I19" s="45">
        <f>5.090456527/'US$'!B207</f>
        <v>3.2708709933817386</v>
      </c>
      <c r="J19" s="45">
        <f>0.083971223/'US$'!B207</f>
        <v>0.053955678853691444</v>
      </c>
      <c r="K19" s="29">
        <f>0.000637316/'US$'!B207</f>
        <v>0.00040950716442845206</v>
      </c>
      <c r="L19" s="45">
        <f>0.296014664/'US$'!B207</f>
        <v>0.1902041148878751</v>
      </c>
      <c r="M19" s="45">
        <f>0/'US$'!B207</f>
        <v>0</v>
      </c>
      <c r="N19" s="45">
        <f>0.671449094/'US$'!B207</f>
        <v>0.431439371586455</v>
      </c>
      <c r="O19" s="45">
        <f>166.95976153/'US$'!B207</f>
        <v>107.27993415793871</v>
      </c>
      <c r="P19" s="45">
        <f>0/'US$'!B207</f>
        <v>0</v>
      </c>
      <c r="Q19" s="45">
        <f>0.5141144/'US$'!B207</f>
        <v>0.33034402107562805</v>
      </c>
      <c r="R19" s="45">
        <f>0.68133039/'US$'!B207</f>
        <v>0.43778859474394394</v>
      </c>
      <c r="S19" s="45">
        <f>0.5112993/'US$'!B207</f>
        <v>0.3285351795926235</v>
      </c>
      <c r="T19" s="45">
        <f>7.441331036/'US$'!B207</f>
        <v>4.781424555676926</v>
      </c>
      <c r="U19" s="45">
        <f>17.966339926/'US$'!B207</f>
        <v>11.544265196941463</v>
      </c>
      <c r="V19" s="45">
        <f>35.74121814/'US$'!B207</f>
        <v>22.965506740345692</v>
      </c>
      <c r="W19" s="45">
        <f>2.15467426/'US$'!B207</f>
        <v>1.3844851635288826</v>
      </c>
      <c r="X19" s="45">
        <f>4.656680349/'US$'!B207</f>
        <v>2.992148267686179</v>
      </c>
      <c r="Y19" s="45">
        <f>205.727321245/'US$'!B207</f>
        <v>132.19001557861594</v>
      </c>
      <c r="Z19" s="45">
        <f>36.716507948/'US$'!B207</f>
        <v>23.59217885240635</v>
      </c>
      <c r="AA19" s="45">
        <f>0.015595738/'US$'!B207</f>
        <v>0.010021035790014779</v>
      </c>
      <c r="AB19" s="45">
        <f>1.317900565/'US$'!B207</f>
        <v>0.8468165295894108</v>
      </c>
      <c r="AC19" s="45">
        <f>0.720582978/'US$'!B207</f>
        <v>0.46301033091306304</v>
      </c>
      <c r="AD19" s="45">
        <f>6.522515174/'US$'!B207</f>
        <v>4.191039757116237</v>
      </c>
      <c r="AE19" s="45">
        <f>11.88147126/'US$'!B207</f>
        <v>7.6344350446572</v>
      </c>
      <c r="AF19" s="45">
        <f>2.472233363/'US$'!B207</f>
        <v>1.5885326498747028</v>
      </c>
    </row>
    <row r="20" spans="1:32" ht="12.75">
      <c r="A20" s="28">
        <v>40756</v>
      </c>
      <c r="B20" s="29">
        <f>(336.322453019+0.764405304+0.075934029)/'US$'!B208</f>
        <v>212.42615445564516</v>
      </c>
      <c r="C20" s="45">
        <f>3.333113823/'US$'!B208</f>
        <v>2.0999961082409278</v>
      </c>
      <c r="D20" s="45">
        <f>2.622697532/'US$'!B208</f>
        <v>1.652405199092742</v>
      </c>
      <c r="E20" s="45">
        <f>0.255128647/'US$'!B208</f>
        <v>0.16074133505544355</v>
      </c>
      <c r="F20" s="45">
        <f>0.000570197/'US$'!B208</f>
        <v>0.00035924710181451617</v>
      </c>
      <c r="G20" s="45">
        <f>0.668614283/'US$'!B208</f>
        <v>0.4212539585433468</v>
      </c>
      <c r="H20" s="45">
        <f>35.804419954/'US$'!B208</f>
        <v>22.558228297631047</v>
      </c>
      <c r="I20" s="45">
        <f>6.60713867/'US$'!B208</f>
        <v>4.162763778981855</v>
      </c>
      <c r="J20" s="45">
        <f>0.084237263/'US$'!B208</f>
        <v>0.05307287235383065</v>
      </c>
      <c r="K20" s="29">
        <f>0.000637316/'US$'!B208</f>
        <v>0.00040153477822580644</v>
      </c>
      <c r="L20" s="45">
        <f>0.32394004/'US$'!B208</f>
        <v>0.2040952872983871</v>
      </c>
      <c r="M20" s="45">
        <f>0/'US$'!B208</f>
        <v>0</v>
      </c>
      <c r="N20" s="45">
        <f>0.83266304/'US$'!B208</f>
        <v>0.5246112903225807</v>
      </c>
      <c r="O20" s="45">
        <f>179.354717208/'US$'!B208</f>
        <v>113.00070388608871</v>
      </c>
      <c r="P20" s="45">
        <f>0/'US$'!B208</f>
        <v>0</v>
      </c>
      <c r="Q20" s="45">
        <f>0.376491973/'US$'!B208</f>
        <v>0.23720512411794353</v>
      </c>
      <c r="R20" s="45">
        <f>0.775796927/'US$'!B208</f>
        <v>0.48878334614415325</v>
      </c>
      <c r="S20" s="45">
        <f>0.722235142/'US$'!B208</f>
        <v>0.4550372618447581</v>
      </c>
      <c r="T20" s="45">
        <f>8.262486066/'US$'!B208</f>
        <v>5.205699386340726</v>
      </c>
      <c r="U20" s="45">
        <f>17.223321096/'US$'!B208</f>
        <v>10.851386779233872</v>
      </c>
      <c r="V20" s="45">
        <f>29.450533268/'US$'!B208</f>
        <v>18.555023480342744</v>
      </c>
      <c r="W20" s="45">
        <f>3.374518387/'US$'!B208</f>
        <v>2.1260826530997985</v>
      </c>
      <c r="X20" s="45">
        <f>3.415508779/'US$'!B208</f>
        <v>2.1519082528981857</v>
      </c>
      <c r="Y20" s="45">
        <f>214.681628912/'US$'!B208</f>
        <v>135.25808273185484</v>
      </c>
      <c r="Z20" s="45">
        <f>134.335253815/'US$'!B208</f>
        <v>84.63662664755545</v>
      </c>
      <c r="AA20" s="45">
        <f>0.017680421/'US$'!B208</f>
        <v>0.011139378150201615</v>
      </c>
      <c r="AB20" s="45">
        <f>1.243179765/'US$'!B208</f>
        <v>0.7832533801663307</v>
      </c>
      <c r="AC20" s="45">
        <f>3.504557702/'US$'!B208</f>
        <v>2.2080126650705645</v>
      </c>
      <c r="AD20" s="45">
        <f>7.537771574/'US$'!B208</f>
        <v>4.749100034022177</v>
      </c>
      <c r="AE20" s="45">
        <f>10.427737667/'US$'!B208</f>
        <v>6.569895203503025</v>
      </c>
      <c r="AF20" s="45">
        <f>2.008281611/'US$'!B208</f>
        <v>1.2652983940272178</v>
      </c>
    </row>
    <row r="21" spans="1:32" ht="12.75">
      <c r="A21" s="28">
        <v>40787</v>
      </c>
      <c r="B21" s="29">
        <f>(373.855805428+0.671413548+0.061149437)/'US$'!B209</f>
        <v>201.9997672632657</v>
      </c>
      <c r="C21" s="45">
        <f>3.945808236/'US$'!B209</f>
        <v>2.127808582830026</v>
      </c>
      <c r="D21" s="45">
        <f>2.990451686/'US$'!B209</f>
        <v>1.61262493852459</v>
      </c>
      <c r="E21" s="45">
        <f>0.255700209/'US$'!B209</f>
        <v>0.13788837845125107</v>
      </c>
      <c r="F21" s="45">
        <f>0.000547107/'US$'!B209</f>
        <v>0.00029503181622088007</v>
      </c>
      <c r="G21" s="45">
        <f>0.672584732/'US$'!B209</f>
        <v>0.3626966846419327</v>
      </c>
      <c r="H21" s="45">
        <f>36.373375929/'US$'!B209</f>
        <v>19.61463326628559</v>
      </c>
      <c r="I21" s="45">
        <f>5.566006894/'US$'!B209</f>
        <v>3.001513639991372</v>
      </c>
      <c r="J21" s="45">
        <f>0.17644123/'US$'!B209</f>
        <v>0.09514734145815358</v>
      </c>
      <c r="K21" s="29">
        <f>0.000637316/'US$'!B209</f>
        <v>0.00034367773943054357</v>
      </c>
      <c r="L21" s="45">
        <f>0.326644791/'US$'!B209</f>
        <v>0.17614581050474545</v>
      </c>
      <c r="M21" s="45">
        <f>(0/'US$'!B209)</f>
        <v>0</v>
      </c>
      <c r="N21" s="45">
        <f>1.159943504/'US$'!B209</f>
        <v>0.6255087920621224</v>
      </c>
      <c r="O21" s="45">
        <f>178.33542051/'US$'!B209</f>
        <v>96.16879880823986</v>
      </c>
      <c r="P21" s="45">
        <f>(0/'US$'!B209)</f>
        <v>0</v>
      </c>
      <c r="Q21" s="45">
        <f>0.379475907/'US$'!B209</f>
        <v>0.2046354114538395</v>
      </c>
      <c r="R21" s="45">
        <f>1.28840238/'US$'!B209</f>
        <v>0.6947812661777394</v>
      </c>
      <c r="S21" s="45">
        <f>1.16386853/'US$'!B209</f>
        <v>0.6276253936583261</v>
      </c>
      <c r="T21" s="45">
        <f>10.017764899/'US$'!B209</f>
        <v>5.402159673748921</v>
      </c>
      <c r="U21" s="45">
        <f>31.483855869/'US$'!B209</f>
        <v>16.977920550582397</v>
      </c>
      <c r="V21" s="45">
        <f>28.02781396/'US$'!B209</f>
        <v>15.114222368421052</v>
      </c>
      <c r="W21" s="45">
        <f>2.809249301/'US$'!B209</f>
        <v>1.5149101062338222</v>
      </c>
      <c r="X21" s="45">
        <f>3.080523898/'US$'!B209</f>
        <v>1.6611970977135462</v>
      </c>
      <c r="Y21" s="45">
        <f>210.729661682/'US$'!B209</f>
        <v>113.6376518992666</v>
      </c>
      <c r="Z21" s="45">
        <f>129.363284573/'US$'!B209</f>
        <v>69.76018365670836</v>
      </c>
      <c r="AA21" s="45">
        <f>0.018367343/'US$'!B209</f>
        <v>0.009904736302847283</v>
      </c>
      <c r="AB21" s="45">
        <f>1.204066725/'US$'!B209</f>
        <v>0.6493025911345988</v>
      </c>
      <c r="AC21" s="45">
        <f>3.544494598/'US$'!B209</f>
        <v>1.9113970006471095</v>
      </c>
      <c r="AD21" s="45">
        <f>9.402008995/'US$'!B209</f>
        <v>5.0701083881578946</v>
      </c>
      <c r="AE21" s="45">
        <f>10.924245296/'US$'!B209</f>
        <v>5.8909864624676445</v>
      </c>
      <c r="AF21" s="45">
        <f>2.883050136/'US$'!B209</f>
        <v>1.5547077955133737</v>
      </c>
    </row>
    <row r="22" spans="1:32" ht="12.75">
      <c r="A22" s="28">
        <v>40817</v>
      </c>
      <c r="B22" s="29">
        <f>(406.938281988+0.648190577+0.08555811)/'US$'!B210</f>
        <v>241.44034982232753</v>
      </c>
      <c r="C22" s="45">
        <f>4.492467607/'US$'!B210</f>
        <v>2.6606263588984307</v>
      </c>
      <c r="D22" s="45">
        <f>3.360195038/'US$'!B210</f>
        <v>1.9900474018359493</v>
      </c>
      <c r="E22" s="45">
        <f>0.275108214/'US$'!B210</f>
        <v>0.16293053834764587</v>
      </c>
      <c r="F22" s="45">
        <f>0.000551936/'US$'!B210</f>
        <v>0.00032687947882736163</v>
      </c>
      <c r="G22" s="45">
        <f>0.587007509/'US$'!B210</f>
        <v>0.3476502866449512</v>
      </c>
      <c r="H22" s="45">
        <f>36.42472814/'US$'!B210</f>
        <v>21.57224053301747</v>
      </c>
      <c r="I22" s="45">
        <f>5.6142514/'US$'!B210</f>
        <v>3.324993426117856</v>
      </c>
      <c r="J22" s="45">
        <f>0.173949777/'US$'!B210</f>
        <v>0.10302030026650874</v>
      </c>
      <c r="K22" s="29">
        <f>0.000637316/'US$'!B210</f>
        <v>0.0003774450695883921</v>
      </c>
      <c r="L22" s="45">
        <f>0.336234524/'US$'!B210</f>
        <v>0.19913208409831212</v>
      </c>
      <c r="M22" s="45">
        <f>0/'US$'!B210</f>
        <v>0</v>
      </c>
      <c r="N22" s="45">
        <f>1.404621456/'US$'!B210</f>
        <v>0.8318753070772876</v>
      </c>
      <c r="O22" s="45">
        <f>177.287737902/'US$'!B210</f>
        <v>104.99717968729642</v>
      </c>
      <c r="P22" s="45">
        <f>(0/'US$'!B210)/'US$'!B210</f>
        <v>0</v>
      </c>
      <c r="Q22" s="45">
        <f>0.372485412/'US$'!B210</f>
        <v>0.2206013692626592</v>
      </c>
      <c r="R22" s="45">
        <f>1.021107966/'US$'!B210</f>
        <v>0.6047426508735564</v>
      </c>
      <c r="S22" s="45">
        <f>0.962722557/'US$'!B210</f>
        <v>0.5701643808113711</v>
      </c>
      <c r="T22" s="45">
        <f>11.73668539/'US$'!B210</f>
        <v>6.9509537400059225</v>
      </c>
      <c r="U22" s="45">
        <f>14.033140438/'US$'!B210</f>
        <v>8.311010031388808</v>
      </c>
      <c r="V22" s="45">
        <f>10.941408999/'US$'!B210</f>
        <v>6.479957950251703</v>
      </c>
      <c r="W22" s="45">
        <f>2.367732014/'US$'!B210</f>
        <v>1.40226947823512</v>
      </c>
      <c r="X22" s="45">
        <f>2.039074781/'US$'!B210</f>
        <v>1.2076249813443887</v>
      </c>
      <c r="Y22" s="45">
        <f>213.608299712/'US$'!B210</f>
        <v>126.50772858276576</v>
      </c>
      <c r="Z22" s="45">
        <f>97.195925052/'US$'!B210</f>
        <v>57.563473527983426</v>
      </c>
      <c r="AA22" s="45">
        <f>0.017734517/'US$'!B210</f>
        <v>0.01050311933668937</v>
      </c>
      <c r="AB22" s="45">
        <f>1.183264764/'US$'!B210</f>
        <v>0.7007786579804561</v>
      </c>
      <c r="AC22" s="45">
        <f>4.107408156/'US$'!B210</f>
        <v>2.432578120225052</v>
      </c>
      <c r="AD22" s="45">
        <f>7.003115702/'US$'!B210</f>
        <v>4.147536690553746</v>
      </c>
      <c r="AE22" s="45">
        <f>11.202633321/'US$'!B210</f>
        <v>6.634665869706841</v>
      </c>
      <c r="AF22" s="45">
        <f>3.043870572/'US$'!B210</f>
        <v>1.8027068830322772</v>
      </c>
    </row>
    <row r="23" spans="1:32" ht="12.75">
      <c r="A23" s="28">
        <v>40848</v>
      </c>
      <c r="B23" s="29">
        <f>(403.921098478+0.54266888+0.097532191)/'US$'!B211</f>
        <v>223.4034455513833</v>
      </c>
      <c r="C23" s="45">
        <f>4.338472493/'US$'!B211</f>
        <v>2.395754869401955</v>
      </c>
      <c r="D23" s="45">
        <f>2.60372054/'US$'!B211</f>
        <v>1.4378047048428957</v>
      </c>
      <c r="E23" s="45">
        <f>0.371658726/'US$'!B211</f>
        <v>0.2052342625213982</v>
      </c>
      <c r="F23" s="45">
        <f>0.056828437/'US$'!B211</f>
        <v>0.031381322546799935</v>
      </c>
      <c r="G23" s="45">
        <f>0.732195351/'US$'!B211</f>
        <v>0.4043267717709426</v>
      </c>
      <c r="H23" s="45">
        <f>37.194378317/'US$'!B211</f>
        <v>20.53916743994699</v>
      </c>
      <c r="I23" s="45">
        <f>5.815348097/'US$'!B211</f>
        <v>3.2113027207465903</v>
      </c>
      <c r="J23" s="45">
        <f>0.13837851/'US$'!B211</f>
        <v>0.07641421944889282</v>
      </c>
      <c r="K23" s="29">
        <f>0.000637316/'US$'!B211</f>
        <v>0.00035193329283781543</v>
      </c>
      <c r="L23" s="45">
        <f>0.318059562/'US$'!B211</f>
        <v>0.17563618200894585</v>
      </c>
      <c r="M23" s="45">
        <f>0/'US$'!B211</f>
        <v>0</v>
      </c>
      <c r="N23" s="45">
        <f>1.559016989/'US$'!B211</f>
        <v>0.8609072775967751</v>
      </c>
      <c r="O23" s="45">
        <f>188.101686659/'US$'!B211</f>
        <v>103.87193476116848</v>
      </c>
      <c r="P23" s="45">
        <f>0/'US$'!B211</f>
        <v>0</v>
      </c>
      <c r="Q23" s="45">
        <f>0.315415848/'US$'!B211</f>
        <v>0.17417629245126734</v>
      </c>
      <c r="R23" s="45">
        <f>1.245314606/'US$'!B211</f>
        <v>0.6876771804075322</v>
      </c>
      <c r="S23" s="45">
        <f>0.845826129/'US$'!B211</f>
        <v>0.4670750063504335</v>
      </c>
      <c r="T23" s="45">
        <f>7.613728174/'US$'!B211</f>
        <v>4.204389073941134</v>
      </c>
      <c r="U23" s="45">
        <f>26.770752124/'US$'!B211</f>
        <v>14.783120064056547</v>
      </c>
      <c r="V23" s="45">
        <f>22.840966519/'US$'!B211</f>
        <v>12.613046838036334</v>
      </c>
      <c r="W23" s="45">
        <f>3.642259656/'US$'!B211</f>
        <v>2.011298059528411</v>
      </c>
      <c r="X23" s="45">
        <f>1.91815286/'US$'!B211</f>
        <v>1.0592262742282843</v>
      </c>
      <c r="Y23" s="45">
        <f>208.263014044/'US$'!B211</f>
        <v>115.00525376553095</v>
      </c>
      <c r="Z23" s="45">
        <f>156.87617021/'US$'!B211</f>
        <v>86.62884212822354</v>
      </c>
      <c r="AA23" s="45">
        <f>0.017048746/'US$'!B211</f>
        <v>0.00941451543431443</v>
      </c>
      <c r="AB23" s="45">
        <f>1.269695245/'US$'!B211</f>
        <v>0.7011404522613066</v>
      </c>
      <c r="AC23" s="45">
        <f>4.082095109/'US$'!B211</f>
        <v>2.2541803020597495</v>
      </c>
      <c r="AD23" s="45">
        <f>7.69198579/'US$'!B211</f>
        <v>4.247603837870672</v>
      </c>
      <c r="AE23" s="45">
        <f>4.288467672/'US$'!B211</f>
        <v>2.368141626815396</v>
      </c>
      <c r="AF23" s="45">
        <f>1.871323947/'US$'!B211</f>
        <v>1.033366804903639</v>
      </c>
    </row>
    <row r="24" spans="1:32" ht="12.75">
      <c r="A24" s="28">
        <v>40878</v>
      </c>
      <c r="B24" s="29">
        <f>(403.921098478+0.54266888+0.097532191)/'US$'!B212</f>
        <v>215.6740055171127</v>
      </c>
      <c r="C24" s="45">
        <f>4.338472493/'US$'!B212</f>
        <v>2.3128651737925154</v>
      </c>
      <c r="D24" s="45">
        <f>2.60372054/'US$'!B212</f>
        <v>1.3880587162810534</v>
      </c>
      <c r="E24" s="45">
        <f>0.371658726/'US$'!B212</f>
        <v>0.1981334502612219</v>
      </c>
      <c r="F24" s="45">
        <f>0.056828437/'US$'!B212</f>
        <v>0.030295573621921316</v>
      </c>
      <c r="G24" s="45">
        <f>0.732195351/'US$'!B212</f>
        <v>0.3903376431389274</v>
      </c>
      <c r="H24" s="45">
        <f>37.194378317/'US$'!B212</f>
        <v>19.828541591321038</v>
      </c>
      <c r="I24" s="45">
        <f>5.815348097/'US$'!B212</f>
        <v>3.100196234673206</v>
      </c>
      <c r="J24" s="45">
        <f>0.13837851/'US$'!B212</f>
        <v>0.07377039663077088</v>
      </c>
      <c r="K24" s="29">
        <f>0.000637316/'US$'!B212</f>
        <v>0.000339756903721079</v>
      </c>
      <c r="L24" s="45">
        <f>0.318059562/'US$'!B212</f>
        <v>0.16955942104701996</v>
      </c>
      <c r="M24" s="45">
        <f>0/'US$'!B212</f>
        <v>0</v>
      </c>
      <c r="N24" s="45">
        <f>1.559016989/'US$'!B212</f>
        <v>0.8311211157905961</v>
      </c>
      <c r="O24" s="45">
        <f>188.101686659/'US$'!B212</f>
        <v>100.27811422273163</v>
      </c>
      <c r="P24" s="45">
        <f>0/'US$'!B212</f>
        <v>0</v>
      </c>
      <c r="Q24" s="45">
        <f>0.315415848/'US$'!B212</f>
        <v>0.16815004158225824</v>
      </c>
      <c r="R24" s="45">
        <f>1.245314606/'US$'!B212</f>
        <v>0.6638845324661478</v>
      </c>
      <c r="S24" s="45">
        <f>0.845826129/'US$'!B212</f>
        <v>0.45091487845186057</v>
      </c>
      <c r="T24" s="45">
        <f>7.613728174/'US$'!B212</f>
        <v>4.0589232188932725</v>
      </c>
      <c r="U24" s="45">
        <f>26.770752124/'US$'!B212</f>
        <v>14.271645230834846</v>
      </c>
      <c r="V24" s="45">
        <f>22.840966519/'US$'!B212</f>
        <v>12.176653437999786</v>
      </c>
      <c r="W24" s="45">
        <f>3.642259656/'US$'!B212</f>
        <v>1.9417100202580233</v>
      </c>
      <c r="X24" s="45">
        <f>1.91815286/'US$'!B212</f>
        <v>1.0225785584817144</v>
      </c>
      <c r="Y24" s="45">
        <f>208.263014044/'US$'!B212</f>
        <v>111.02623629598038</v>
      </c>
      <c r="Z24" s="45">
        <f>156.87617021/'US$'!B212</f>
        <v>83.63160795927071</v>
      </c>
      <c r="AA24" s="45">
        <f>0.017048746/'US$'!B212</f>
        <v>0.009088786651028895</v>
      </c>
      <c r="AB24" s="45">
        <f>1.269695245/'US$'!B212</f>
        <v>0.6768819943490778</v>
      </c>
      <c r="AC24" s="45">
        <f>4.082095109/'US$'!B212</f>
        <v>2.176188884209404</v>
      </c>
      <c r="AD24" s="45">
        <f>7.69198579/'US$'!B212</f>
        <v>4.100642813732808</v>
      </c>
      <c r="AE24" s="45">
        <f>4.288467672/'US$'!B212</f>
        <v>2.286207309947756</v>
      </c>
      <c r="AF24" s="45">
        <f>1.871323947/'US$'!B212</f>
        <v>0.9976137898496642</v>
      </c>
    </row>
    <row r="25" spans="1:32" ht="12.75">
      <c r="A25" s="28">
        <v>40909</v>
      </c>
      <c r="B25" s="29">
        <f>(451.075174718+0.615098313+0.078853232)/'US$'!B213</f>
        <v>259.7717936076131</v>
      </c>
      <c r="C25" s="45">
        <f>9.285210688/'US$'!B213</f>
        <v>5.339089579667643</v>
      </c>
      <c r="D25" s="45">
        <f>2.696520946/'US$'!B213</f>
        <v>1.5505266781668678</v>
      </c>
      <c r="E25" s="45">
        <f>0.368838437/'US$'!B213</f>
        <v>0.2120858127767236</v>
      </c>
      <c r="F25" s="45">
        <f>0.05728231/'US$'!B213</f>
        <v>0.03293790466333161</v>
      </c>
      <c r="G25" s="45">
        <f>13.560533609/'US$'!B213</f>
        <v>7.797443280432407</v>
      </c>
      <c r="H25" s="45">
        <f>38.764291621/'US$'!B213</f>
        <v>22.289857754585704</v>
      </c>
      <c r="I25" s="45">
        <f>5.980689487/'US$'!B213</f>
        <v>3.4389566367661435</v>
      </c>
      <c r="J25" s="45">
        <f>0.286351897/'US$'!B213</f>
        <v>0.16465522224138923</v>
      </c>
      <c r="K25" s="29">
        <f>0.000637316/'US$'!B213</f>
        <v>0.00036646311310447926</v>
      </c>
      <c r="L25" s="45">
        <f>0.322054895/'US$'!B213</f>
        <v>0.1851848053590938</v>
      </c>
      <c r="M25" s="45">
        <f>0/'US$'!B213</f>
        <v>0</v>
      </c>
      <c r="N25" s="45">
        <f>1.802099502/'US$'!B213</f>
        <v>1.0362253475935828</v>
      </c>
      <c r="O25" s="45">
        <f>193.260531808/'US$'!B213</f>
        <v>111.12675050773387</v>
      </c>
      <c r="P25" s="45">
        <f>0/'US$'!B213</f>
        <v>0</v>
      </c>
      <c r="Q25" s="45">
        <f>0.3170688/'US$'!B213</f>
        <v>0.1823177505606348</v>
      </c>
      <c r="R25" s="45">
        <f>1.223073074/'US$'!B213</f>
        <v>0.7032793249381863</v>
      </c>
      <c r="S25" s="45">
        <f>0.54532078/'US$'!B213</f>
        <v>0.31356493588637796</v>
      </c>
      <c r="T25" s="45">
        <f>7.795442511/'US$'!B213</f>
        <v>4.482457886838019</v>
      </c>
      <c r="U25" s="45">
        <f>23.155864248/'US$'!B213</f>
        <v>13.314854952561669</v>
      </c>
      <c r="V25" s="45">
        <f>23.840992211/'US$'!B213</f>
        <v>13.708810425507446</v>
      </c>
      <c r="W25" s="45">
        <f>4.191811956/'US$'!B213</f>
        <v>2.4103340555459716</v>
      </c>
      <c r="X25" s="45">
        <f>2.172985791/'US$'!B213</f>
        <v>1.2494886958771778</v>
      </c>
      <c r="Y25" s="45">
        <f>212.779008702/'US$'!B213</f>
        <v>122.35007112989477</v>
      </c>
      <c r="Z25" s="45">
        <f>135.110934692/'US$'!B213</f>
        <v>77.69014702547294</v>
      </c>
      <c r="AA25" s="45">
        <f>0.017268038/'US$'!B213</f>
        <v>0.00992929561267322</v>
      </c>
      <c r="AB25" s="45">
        <f>1.294914417/'US$'!B213</f>
        <v>0.7445888200793513</v>
      </c>
      <c r="AC25" s="45">
        <f>6.0927188/'US$'!B213</f>
        <v>3.5033746190558333</v>
      </c>
      <c r="AD25" s="45">
        <f>7.616430775/'US$'!B213</f>
        <v>4.379524337300903</v>
      </c>
      <c r="AE25" s="45">
        <f>5.943241912/'US$'!B213</f>
        <v>3.4174239043183254</v>
      </c>
      <c r="AF25" s="45">
        <f>2.808695088/'US$'!B213</f>
        <v>1.6150279385889252</v>
      </c>
    </row>
    <row r="26" spans="1:32" ht="12.75">
      <c r="A26" s="28">
        <v>40940</v>
      </c>
      <c r="B26" s="29">
        <f>(476.947722113+0.644198351+0.078223973)/'US$'!B214</f>
        <v>279.47001195705593</v>
      </c>
      <c r="C26" s="45">
        <f>9.422269759/'US$'!B214</f>
        <v>5.512678305054997</v>
      </c>
      <c r="D26" s="45">
        <f>3.177911972/'US$'!B214</f>
        <v>1.859297900772291</v>
      </c>
      <c r="E26" s="45">
        <f>0.422102004/'US$'!B214</f>
        <v>0.24695881347999063</v>
      </c>
      <c r="F26" s="45">
        <f>0.057640217/'US$'!B214</f>
        <v>0.033723506318745614</v>
      </c>
      <c r="G26" s="45">
        <f>0.585235274/'US$'!B214</f>
        <v>0.3424030388485841</v>
      </c>
      <c r="H26" s="45">
        <f>40.451193801/'US$'!B214</f>
        <v>23.666741049028786</v>
      </c>
      <c r="I26" s="45">
        <f>7.859632998/'US$'!B214</f>
        <v>4.598427918324362</v>
      </c>
      <c r="J26" s="45">
        <f>0.575147334/'US$'!B214</f>
        <v>0.3365008974959045</v>
      </c>
      <c r="K26" s="29">
        <f>0.000637316/'US$'!B214</f>
        <v>0.0003728738591153756</v>
      </c>
      <c r="L26" s="45">
        <f>0.326566502/'US$'!B214</f>
        <v>0.19106394921600747</v>
      </c>
      <c r="M26" s="45">
        <f>0/'US$'!B214</f>
        <v>0</v>
      </c>
      <c r="N26" s="45">
        <f>1.552405584/'US$'!B214</f>
        <v>0.9082644418441376</v>
      </c>
      <c r="O26" s="45">
        <f>198.27765977/'US$'!B214</f>
        <v>116.00611968757313</v>
      </c>
      <c r="P26" s="45">
        <f>0.023714817/'US$'!B214</f>
        <v>0.013874805172010297</v>
      </c>
      <c r="Q26" s="45">
        <f>0.320308685/'US$'!B214</f>
        <v>0.18740269424292064</v>
      </c>
      <c r="R26" s="45">
        <f>0.884996092/'US$'!B214</f>
        <v>0.5177838123098525</v>
      </c>
      <c r="S26" s="45">
        <f>0.513631432/'US$'!B214</f>
        <v>0.3005098478820501</v>
      </c>
      <c r="T26" s="45">
        <f>6.011572825/'US$'!B214</f>
        <v>3.5171851304703954</v>
      </c>
      <c r="U26" s="45">
        <f>19.414717011/'US$'!B214</f>
        <v>11.358949807512287</v>
      </c>
      <c r="V26" s="45">
        <f>21.037706726/'US$'!B214</f>
        <v>12.308510838989001</v>
      </c>
      <c r="W26" s="45">
        <f>5.005550756/'US$'!B214</f>
        <v>2.928592766206412</v>
      </c>
      <c r="X26" s="45">
        <f>2.668872027/'US$'!B214</f>
        <v>1.561474389772993</v>
      </c>
      <c r="Y26" s="45">
        <f>205.837867719/'US$'!B214</f>
        <v>120.4293632804821</v>
      </c>
      <c r="Z26" s="45">
        <f>128.825583207/'US$'!B214</f>
        <v>75.37186005558155</v>
      </c>
      <c r="AA26" s="45">
        <f>0.114855606/'US$'!B214</f>
        <v>0.06719845892815351</v>
      </c>
      <c r="AB26" s="45">
        <f>1.185901516/'US$'!B214</f>
        <v>0.6938342593025977</v>
      </c>
      <c r="AC26" s="45">
        <f>7.0318603/'US$'!B214</f>
        <v>4.114123742101568</v>
      </c>
      <c r="AD26" s="45">
        <f>6.648147279/'US$'!B214</f>
        <v>3.8896251339808097</v>
      </c>
      <c r="AE26" s="45">
        <f>6.924587263/'US$'!B214</f>
        <v>4.051361609524924</v>
      </c>
      <c r="AF26" s="45">
        <f>4.34519612/'US$'!B214</f>
        <v>2.542239714486309</v>
      </c>
    </row>
    <row r="27" spans="1:32" ht="12.75">
      <c r="A27" s="28">
        <v>40969</v>
      </c>
      <c r="B27" s="29">
        <f>(474.164089172+0.450478858+0.076408797)/'US$'!B215</f>
        <v>260.5186196295483</v>
      </c>
      <c r="C27" s="45">
        <f>7.872645773/'US$'!B215</f>
        <v>4.320644186927172</v>
      </c>
      <c r="D27" s="45">
        <f>2.745273912/'US$'!B215</f>
        <v>1.5066538126337743</v>
      </c>
      <c r="E27" s="45">
        <f>0.444357102/'US$'!B215</f>
        <v>0.24387086438724548</v>
      </c>
      <c r="F27" s="45">
        <f>0.058107693/'US$'!B215</f>
        <v>0.03189050710718402</v>
      </c>
      <c r="G27" s="45">
        <f>0.661905397/'US$'!B215</f>
        <v>0.3632651319905603</v>
      </c>
      <c r="H27" s="45">
        <f>40.48612905/'US$'!B215</f>
        <v>22.21948798090116</v>
      </c>
      <c r="I27" s="45">
        <f>5.839982788/'US$'!B215</f>
        <v>3.2050835782887876</v>
      </c>
      <c r="J27" s="45">
        <f>0.490612281/'US$'!B215</f>
        <v>0.26925650677789364</v>
      </c>
      <c r="K27" s="29">
        <f>0.000637316/'US$'!B215</f>
        <v>0.00034977004555183575</v>
      </c>
      <c r="L27" s="45">
        <f>0.327049572/'US$'!B215</f>
        <v>0.17949046265298282</v>
      </c>
      <c r="M27" s="45">
        <f>0/'US$'!B215</f>
        <v>0</v>
      </c>
      <c r="N27" s="45">
        <f>1.549656116/'US$'!B215</f>
        <v>0.8504780835299929</v>
      </c>
      <c r="O27" s="45">
        <f>205.400251893/'US$'!B215</f>
        <v>112.72721140058174</v>
      </c>
      <c r="P27" s="45">
        <f>0/'US$'!B215</f>
        <v>0</v>
      </c>
      <c r="Q27" s="45">
        <f>0.319059114/'US$'!B215</f>
        <v>0.17510516107787716</v>
      </c>
      <c r="R27" s="45">
        <f>1.153191937/'US$'!B215</f>
        <v>0.6328916837714724</v>
      </c>
      <c r="S27" s="45">
        <f>4.953021431/'US$'!B215</f>
        <v>2.718303842269908</v>
      </c>
      <c r="T27" s="45">
        <f>7.437440624/'US$'!B215</f>
        <v>4.08179607266341</v>
      </c>
      <c r="U27" s="45">
        <f>22.298933088/'US$'!B215</f>
        <v>12.238040221722187</v>
      </c>
      <c r="V27" s="45">
        <f>26.323094446/'US$'!B215</f>
        <v>14.446569587838207</v>
      </c>
      <c r="W27" s="45">
        <f>5.2802177/'US$'!B215</f>
        <v>2.8978748147741613</v>
      </c>
      <c r="X27" s="45">
        <f>2.603642437/'US$'!B215</f>
        <v>1.4289240091103672</v>
      </c>
      <c r="Y27" s="45">
        <f>203.179423887/'US$'!B215</f>
        <v>111.50838257340432</v>
      </c>
      <c r="Z27" s="45">
        <f>108.698128909/'US$'!B215</f>
        <v>59.65541348389221</v>
      </c>
      <c r="AA27" s="45">
        <f>0.01822176/'US$'!B215</f>
        <v>0.010000417101147028</v>
      </c>
      <c r="AB27" s="45">
        <f>1.318310498/'US$'!B215</f>
        <v>0.7235116063882333</v>
      </c>
      <c r="AC27" s="45">
        <f>16.163212297/'US$'!B215</f>
        <v>8.870650511497724</v>
      </c>
      <c r="AD27" s="45">
        <f>7.205696536/'US$'!B215</f>
        <v>3.954610908292629</v>
      </c>
      <c r="AE27" s="45">
        <f>6.725506009/'US$'!B215</f>
        <v>3.691074040392953</v>
      </c>
      <c r="AF27" s="45">
        <f>3.922817779/'US$'!B215</f>
        <v>2.1529102568464955</v>
      </c>
    </row>
    <row r="28" spans="1:32" ht="12.75">
      <c r="A28" s="28">
        <v>41000</v>
      </c>
      <c r="B28" s="29">
        <f>(449.49687828+0.49315677+0.156863422)/'US$'!B216</f>
        <v>237.9463465863199</v>
      </c>
      <c r="C28" s="45">
        <f>7.688024563/'US$'!B216</f>
        <v>4.063867514007823</v>
      </c>
      <c r="D28" s="45">
        <f>2.107383432/'US$'!B216</f>
        <v>1.1139567776720583</v>
      </c>
      <c r="E28" s="45">
        <f>0.435367098/'US$'!B216</f>
        <v>0.23013378686964797</v>
      </c>
      <c r="F28" s="45">
        <f>0.058534819/'US$'!B216</f>
        <v>0.03094133576488001</v>
      </c>
      <c r="G28" s="45">
        <f>0.795535114/'US$'!B216</f>
        <v>0.4205175568241886</v>
      </c>
      <c r="H28" s="45">
        <f>43.423101059/'US$'!B216</f>
        <v>22.95332543556401</v>
      </c>
      <c r="I28" s="45">
        <f>1.957630808/'US$'!B216</f>
        <v>1.0347979744159002</v>
      </c>
      <c r="J28" s="45">
        <f>0.439503558/'US$'!B216</f>
        <v>0.23232030764351413</v>
      </c>
      <c r="K28" s="29">
        <f>0.000637316/'US$'!B216</f>
        <v>0.0003368833914790147</v>
      </c>
      <c r="L28" s="45">
        <f>0.327907656/'US$'!B216</f>
        <v>0.17333103710751666</v>
      </c>
      <c r="M28" s="45">
        <f>0/'US$'!B216</f>
        <v>0</v>
      </c>
      <c r="N28" s="45">
        <f>1.582829433/'US$'!B216</f>
        <v>0.836679053282588</v>
      </c>
      <c r="O28" s="45">
        <f>211.860094097/'US$'!B216</f>
        <v>111.98863204197062</v>
      </c>
      <c r="P28" s="45">
        <f>0/'US$'!B216</f>
        <v>0</v>
      </c>
      <c r="Q28" s="45">
        <f>0.331635314/'US$'!B216</f>
        <v>0.17530146632836455</v>
      </c>
      <c r="R28" s="45">
        <f>1.121056376/'US$'!B216</f>
        <v>0.5925871529760017</v>
      </c>
      <c r="S28" s="45">
        <f>0.738010785/'US$'!B216</f>
        <v>0.39011036314620995</v>
      </c>
      <c r="T28" s="45">
        <f>15.055629642/'US$'!B216</f>
        <v>7.958362216936251</v>
      </c>
      <c r="U28" s="45">
        <f>31.787262174/'US$'!B216</f>
        <v>16.80265470662861</v>
      </c>
      <c r="V28" s="45">
        <f>39.064109193/'US$'!B216</f>
        <v>20.64917496194101</v>
      </c>
      <c r="W28" s="45">
        <f>5.337363856/'US$'!B216</f>
        <v>2.8213150734749974</v>
      </c>
      <c r="X28" s="45">
        <f>3.060489165/'US$'!B216</f>
        <v>1.6177657072629241</v>
      </c>
      <c r="Y28" s="45">
        <f>363.150936966/'US$'!B216</f>
        <v>191.96053333650494</v>
      </c>
      <c r="Z28" s="45">
        <f>186.598488413/'US$'!B216</f>
        <v>98.63542045300773</v>
      </c>
      <c r="AA28" s="45">
        <f>0.018997134/'US$'!B216</f>
        <v>0.010041830003171583</v>
      </c>
      <c r="AB28" s="45">
        <f>3.852146579/'US$'!B216</f>
        <v>2.0362335230996935</v>
      </c>
      <c r="AC28" s="45">
        <f>3.99739514/'US$'!B216</f>
        <v>2.1130114917010254</v>
      </c>
      <c r="AD28" s="45">
        <f>9.182791147/'US$'!B216</f>
        <v>4.853996800401734</v>
      </c>
      <c r="AE28" s="45">
        <f>6.781136248/'US$'!B216</f>
        <v>3.5844889776932023</v>
      </c>
      <c r="AF28" s="45">
        <f>3.122732137/'US$'!B216</f>
        <v>1.6506671619621525</v>
      </c>
    </row>
    <row r="29" spans="1:32" ht="12.75">
      <c r="A29" s="28">
        <v>41030</v>
      </c>
      <c r="B29" s="29">
        <f>(411.500783472+0.529239247+0.142124654)/'US$'!B217</f>
        <v>203.81355257528557</v>
      </c>
      <c r="C29" s="45">
        <f>6.840001222/'US$'!B217</f>
        <v>3.3822880986995005</v>
      </c>
      <c r="D29" s="45">
        <f>1.873858941/'US$'!B217</f>
        <v>0.926597903871829</v>
      </c>
      <c r="E29" s="45">
        <f>0.456082542/'US$'!B217</f>
        <v>0.22552664886515353</v>
      </c>
      <c r="F29" s="45">
        <f>0.058697864/'US$'!B217</f>
        <v>0.02902529990604757</v>
      </c>
      <c r="G29" s="45">
        <f>0.857957695/'US$'!B217</f>
        <v>0.4242484769816545</v>
      </c>
      <c r="H29" s="45">
        <f>45.510447672/'US$'!B217</f>
        <v>22.5043008811749</v>
      </c>
      <c r="I29" s="45">
        <f>1.956471478/'US$'!B217</f>
        <v>0.9674486861494339</v>
      </c>
      <c r="J29" s="45">
        <f>0.481636292/'US$'!B217</f>
        <v>0.23816263264599716</v>
      </c>
      <c r="K29" s="29">
        <f>0.002457457/'US$'!B217</f>
        <v>0.0012151792513474756</v>
      </c>
      <c r="L29" s="45">
        <f>0.507563739/'US$'!B217</f>
        <v>0.25098340453938583</v>
      </c>
      <c r="M29" s="45">
        <f>0/'US$'!B217</f>
        <v>0</v>
      </c>
      <c r="N29" s="45">
        <f>1.492926267/'US$'!B217</f>
        <v>0.7382318483904465</v>
      </c>
      <c r="O29" s="45">
        <f>212.028396654/'US$'!B217</f>
        <v>104.84517462987688</v>
      </c>
      <c r="P29" s="45">
        <f>0.001264623/'US$'!B217</f>
        <v>0.0006253389704791575</v>
      </c>
      <c r="Q29" s="45">
        <f>0.297291709/'US$'!B217</f>
        <v>0.1470067294664491</v>
      </c>
      <c r="R29" s="45">
        <f>1.573622279/'US$'!B217</f>
        <v>0.7781349349750285</v>
      </c>
      <c r="S29" s="45">
        <f>1.280544727/'US$'!B217</f>
        <v>0.6332120491519557</v>
      </c>
      <c r="T29" s="45">
        <f>14.76414124/'US$'!B217</f>
        <v>7.300668169905554</v>
      </c>
      <c r="U29" s="45">
        <f>34.397145335/'US$'!B217</f>
        <v>17.008923174108688</v>
      </c>
      <c r="V29" s="45">
        <f>38.225240437/'US$'!B217</f>
        <v>18.901864430104336</v>
      </c>
      <c r="W29" s="45">
        <f>5.225963507/'US$'!B217</f>
        <v>2.5841682772091183</v>
      </c>
      <c r="X29" s="45">
        <f>2.638481189/'US$'!B217</f>
        <v>1.3046932645997134</v>
      </c>
      <c r="Y29" s="45">
        <f>363.769739312/'US$'!B217</f>
        <v>179.87921639321564</v>
      </c>
      <c r="Z29" s="45">
        <f>220.843299242/'US$'!B217</f>
        <v>109.20402474509223</v>
      </c>
      <c r="AA29" s="45">
        <f>0.019243887/'US$'!B217</f>
        <v>0.00951584186322504</v>
      </c>
      <c r="AB29" s="45">
        <f>3.977191917/'US$'!B217</f>
        <v>1.9666676145972406</v>
      </c>
      <c r="AC29" s="45">
        <f>6.483792626/'US$'!B217</f>
        <v>3.206147765415616</v>
      </c>
      <c r="AD29" s="45">
        <f>6.642771768/'US$'!B217</f>
        <v>3.284760801068091</v>
      </c>
      <c r="AE29" s="45">
        <f>5.902409539/'US$'!B217</f>
        <v>2.9186616916382335</v>
      </c>
      <c r="AF29" s="45">
        <f>3.446567616/'US$'!B217</f>
        <v>1.7042810740246253</v>
      </c>
    </row>
    <row r="30" spans="1:32" ht="12.75">
      <c r="A30" s="28">
        <v>41061</v>
      </c>
      <c r="B30" s="29">
        <f>(410.306347696+0.528236419+0.073012725)/'US$'!B218</f>
        <v>203.28877298768117</v>
      </c>
      <c r="C30" s="45">
        <f>7.530307079/'US$'!B218</f>
        <v>3.7254772072428635</v>
      </c>
      <c r="D30" s="45">
        <f>2.125047414/'US$'!B218</f>
        <v>1.0513270736654627</v>
      </c>
      <c r="E30" s="45">
        <f>0.481342918/'US$'!B218</f>
        <v>0.23813531786474051</v>
      </c>
      <c r="F30" s="45">
        <f>0.059072591/'US$'!B218</f>
        <v>0.029225048731014693</v>
      </c>
      <c r="G30" s="45">
        <f>0.805424888/'US$'!B218</f>
        <v>0.39846875179340024</v>
      </c>
      <c r="H30" s="45">
        <f>46.688966756/'US$'!B218</f>
        <v>23.09848451788453</v>
      </c>
      <c r="I30" s="45">
        <f>1.546024087/'US$'!B218</f>
        <v>0.7648662182753673</v>
      </c>
      <c r="J30" s="45">
        <f>0.464573741/'US$'!B218</f>
        <v>0.22983908425270863</v>
      </c>
      <c r="K30" s="29">
        <f>0.001503099/'US$'!B218</f>
        <v>0.0007436298421807747</v>
      </c>
      <c r="L30" s="45">
        <f>0.318753559/'US$'!B218</f>
        <v>0.15769730322069955</v>
      </c>
      <c r="M30" s="45">
        <f>0/'US$'!B218</f>
        <v>0</v>
      </c>
      <c r="N30" s="45">
        <f>1.481915422/'US$'!B218</f>
        <v>0.7331496670459604</v>
      </c>
      <c r="O30" s="45">
        <f>222.156348032/'US$'!B218</f>
        <v>109.90765746400831</v>
      </c>
      <c r="P30" s="45">
        <f>0.001264623/'US$'!B218</f>
        <v>0.0006256483451244249</v>
      </c>
      <c r="Q30" s="45">
        <f>0.567547372/'US$'!B218</f>
        <v>0.280783343392866</v>
      </c>
      <c r="R30" s="45">
        <f>1.075409708/'US$'!B218</f>
        <v>0.5320386424578242</v>
      </c>
      <c r="S30" s="45">
        <f>0.737154874/'US$'!B218</f>
        <v>0.3646934517389799</v>
      </c>
      <c r="T30" s="45">
        <f>5.14249807/'US$'!B218</f>
        <v>2.544153797061297</v>
      </c>
      <c r="U30" s="45">
        <f>46.105559332/'US$'!B218</f>
        <v>22.809854713303316</v>
      </c>
      <c r="V30" s="45">
        <f>31.28626133/'US$'!B218</f>
        <v>15.47828690941473</v>
      </c>
      <c r="W30" s="45">
        <f>5.129266345/'US$'!B218</f>
        <v>2.537607651016672</v>
      </c>
      <c r="X30" s="45">
        <f>2.41897233/'US$'!B218</f>
        <v>1.1967408746846089</v>
      </c>
      <c r="Y30" s="45">
        <f>337.131081565/'US$'!B218</f>
        <v>166.7892354252214</v>
      </c>
      <c r="Z30" s="45">
        <f>244.270750338/'US$'!B218</f>
        <v>120.84834034433285</v>
      </c>
      <c r="AA30" s="45">
        <f>0.019627872/'US$'!B218</f>
        <v>0.009710518972938209</v>
      </c>
      <c r="AB30" s="45">
        <f>4.349446456/'US$'!B218</f>
        <v>2.1518064888932864</v>
      </c>
      <c r="AC30" s="45">
        <f>4.081938425/'US$'!B218</f>
        <v>2.019461942809083</v>
      </c>
      <c r="AD30" s="45">
        <f>6.067748808/'US$'!B218</f>
        <v>3.0019041250680254</v>
      </c>
      <c r="AE30" s="45">
        <f>7.538023719/'US$'!B218</f>
        <v>3.72929486914362</v>
      </c>
      <c r="AF30" s="45">
        <f>4.483730696/'US$'!B218</f>
        <v>2.2182410804927524</v>
      </c>
    </row>
    <row r="31" spans="1:32" ht="12.75">
      <c r="A31" s="28">
        <v>41091</v>
      </c>
      <c r="B31" s="29">
        <f>(426.40643688+0.756610774+0.060178345)/'US$'!B219</f>
        <v>208.41174008439435</v>
      </c>
      <c r="C31" s="45">
        <f>7.15337597/'US$'!B219</f>
        <v>3.4896219181423485</v>
      </c>
      <c r="D31" s="45">
        <f>2.229121149/'US$'!B219</f>
        <v>1.0874292155714913</v>
      </c>
      <c r="E31" s="45">
        <f>0.427307425/'US$'!B219</f>
        <v>0.20845281477145228</v>
      </c>
      <c r="F31" s="45">
        <f>0.122977592/'US$'!B219</f>
        <v>0.05999199570710766</v>
      </c>
      <c r="G31" s="45">
        <f>0.872830343/'US$'!B219</f>
        <v>0.42579166934972434</v>
      </c>
      <c r="H31" s="45">
        <f>55.180491469/'US$'!B219</f>
        <v>26.918626015415388</v>
      </c>
      <c r="I31" s="45">
        <f>2.174339076/'US$'!B219</f>
        <v>1.060704949509732</v>
      </c>
      <c r="J31" s="45">
        <f>0.498810081/'US$'!B219</f>
        <v>0.24333386067613055</v>
      </c>
      <c r="K31" s="29">
        <f>0.002446436/'US$'!B219</f>
        <v>0.0011934416312990878</v>
      </c>
      <c r="L31" s="45">
        <f>0.320942302/'US$'!B219</f>
        <v>0.15656485779794135</v>
      </c>
      <c r="M31" s="45">
        <f>0/'US$'!B219</f>
        <v>0</v>
      </c>
      <c r="N31" s="45">
        <f>1.495313575/'US$'!B219</f>
        <v>0.7294568393580174</v>
      </c>
      <c r="O31" s="45">
        <f>222.638858841/'US$'!B219</f>
        <v>108.60961941606908</v>
      </c>
      <c r="P31" s="45">
        <f>0.033946379/'US$'!B219</f>
        <v>0.01656001707400361</v>
      </c>
      <c r="Q31" s="45">
        <f>0.631404716/'US$'!B219</f>
        <v>0.308017325723206</v>
      </c>
      <c r="R31" s="45">
        <f>1.22722163/'US$'!B219</f>
        <v>0.5986739011659106</v>
      </c>
      <c r="S31" s="45">
        <f>0.764296333/'US$'!B219</f>
        <v>0.3728456671057125</v>
      </c>
      <c r="T31" s="45">
        <f>6.049189863/'US$'!B219</f>
        <v>2.9509682730864917</v>
      </c>
      <c r="U31" s="45">
        <f>39.997448402/'US$'!B219</f>
        <v>19.511902240109276</v>
      </c>
      <c r="V31" s="45">
        <f>39.841917613/'US$'!B219</f>
        <v>19.436029861456657</v>
      </c>
      <c r="W31" s="45">
        <f>6.276094786/'US$'!B219</f>
        <v>3.0616590009268743</v>
      </c>
      <c r="X31" s="45">
        <f>2.866342358/'US$'!B219</f>
        <v>1.39828399336553</v>
      </c>
      <c r="Y31" s="45">
        <f>329.602293258/'US$'!B219</f>
        <v>160.78944985511487</v>
      </c>
      <c r="Z31" s="45">
        <f>250.261899422/'US$'!B219</f>
        <v>122.08493069027757</v>
      </c>
      <c r="AA31" s="45">
        <f>0.020077532/'US$'!B219</f>
        <v>0.009794395824186545</v>
      </c>
      <c r="AB31" s="45">
        <f>4.334683179/'US$'!B219</f>
        <v>2.1145827498902383</v>
      </c>
      <c r="AC31" s="45">
        <f>4.530879924/'US$'!B219</f>
        <v>2.2102931479584367</v>
      </c>
      <c r="AD31" s="45">
        <f>5.823105557/'US$'!B219</f>
        <v>2.840677865749549</v>
      </c>
      <c r="AE31" s="45">
        <f>6.529406449/'US$'!B219</f>
        <v>3.1852316937411578</v>
      </c>
      <c r="AF31" s="45">
        <f>3.423704441/'US$'!B219</f>
        <v>1.6701811995707108</v>
      </c>
    </row>
    <row r="32" spans="1:32" ht="12.75">
      <c r="A32" s="28">
        <v>41122</v>
      </c>
      <c r="B32" s="29">
        <f>(431.403145894+0.800431582+0.064158631)/'US$'!B220</f>
        <v>212.18718638670722</v>
      </c>
      <c r="C32" s="45">
        <f>6.177295389/'US$'!B220</f>
        <v>3.0322478838602005</v>
      </c>
      <c r="D32" s="45">
        <f>2.191794944/'US$'!B220</f>
        <v>1.075885992538779</v>
      </c>
      <c r="E32" s="45">
        <f>0.455347521/'US$'!B220</f>
        <v>0.2235163562733163</v>
      </c>
      <c r="F32" s="45">
        <f>0.123810693/'US$'!B220</f>
        <v>0.06077493275083448</v>
      </c>
      <c r="G32" s="45">
        <f>0.893045506/'US$'!B220</f>
        <v>0.438369087963872</v>
      </c>
      <c r="H32" s="45">
        <f>48.230807693/'US$'!B220</f>
        <v>23.675047954545455</v>
      </c>
      <c r="I32" s="45">
        <f>2.050411346/'US$'!B220</f>
        <v>1.0064850510504615</v>
      </c>
      <c r="J32" s="45">
        <f>0.514755253/'US$'!B220</f>
        <v>0.2526778190653839</v>
      </c>
      <c r="K32" s="29">
        <f>0.002566436/'US$'!B220</f>
        <v>0.001259785980757903</v>
      </c>
      <c r="L32" s="45">
        <f>0.32303478/'US$'!B220</f>
        <v>0.15856802473983903</v>
      </c>
      <c r="M32" s="45">
        <f>0/'US$'!B220</f>
        <v>0</v>
      </c>
      <c r="N32" s="45">
        <f>1.427856692/'US$'!B220</f>
        <v>0.7008917592774396</v>
      </c>
      <c r="O32" s="45">
        <f>225.146256778/'US$'!B220</f>
        <v>110.51750283624584</v>
      </c>
      <c r="P32" s="45">
        <f>0/'US$'!B220</f>
        <v>0</v>
      </c>
      <c r="Q32" s="45">
        <f>0.507749319/'US$'!B220</f>
        <v>0.24923881749460045</v>
      </c>
      <c r="R32" s="45">
        <f>1.091328363/'US$'!B220</f>
        <v>0.5357001585509523</v>
      </c>
      <c r="S32" s="45">
        <f>0.926326532/'US$'!B220</f>
        <v>0.45470573924995095</v>
      </c>
      <c r="T32" s="45">
        <f>5.564021295/'US$'!B220</f>
        <v>2.7312101389161594</v>
      </c>
      <c r="U32" s="45">
        <f>37.280938805/'US$'!B220</f>
        <v>18.3000877699784</v>
      </c>
      <c r="V32" s="45">
        <f>44.539799395/'US$'!B220</f>
        <v>21.863243370803065</v>
      </c>
      <c r="W32" s="45">
        <f>5.599120613/'US$'!B220</f>
        <v>2.7484393348713922</v>
      </c>
      <c r="X32" s="45">
        <f>2.712456428/'US$'!B220</f>
        <v>1.3314630021598273</v>
      </c>
      <c r="Y32" s="45">
        <f>375.06126062/'US$'!B220</f>
        <v>184.10625398586296</v>
      </c>
      <c r="Z32" s="45">
        <f>318.617538089/'US$'!B220</f>
        <v>156.39973399224425</v>
      </c>
      <c r="AA32" s="45">
        <f>0.020714535/'US$'!B220</f>
        <v>0.010168140094247005</v>
      </c>
      <c r="AB32" s="45">
        <f>4.367839906/'US$'!B220</f>
        <v>2.1440407942273714</v>
      </c>
      <c r="AC32" s="45">
        <f>5.049040908/'US$'!B220</f>
        <v>2.478421808364422</v>
      </c>
      <c r="AD32" s="45">
        <f>6.90676951/'US$'!B220</f>
        <v>3.390324715295504</v>
      </c>
      <c r="AE32" s="45">
        <f>6.680278998/'US$'!B220</f>
        <v>3.279147358138622</v>
      </c>
      <c r="AF32" s="45">
        <f>3.293410263/'US$'!B220</f>
        <v>1.6166357073434128</v>
      </c>
    </row>
    <row r="33" spans="1:32" ht="12.75">
      <c r="A33" s="28">
        <v>41153</v>
      </c>
      <c r="B33" s="29">
        <f>(436.026409477+0.649230145+0.060555642)/'US$'!B221</f>
        <v>215.07741320988868</v>
      </c>
      <c r="C33" s="45">
        <f>6.561191622/'US$'!B221</f>
        <v>3.2311590771200627</v>
      </c>
      <c r="D33" s="45">
        <f>2.552739913/'US$'!B221</f>
        <v>1.2571357790800748</v>
      </c>
      <c r="E33" s="45">
        <f>0.466843807/'US$'!B221</f>
        <v>0.22990436668964837</v>
      </c>
      <c r="F33" s="45">
        <f>0.12447615/'US$'!B221</f>
        <v>0.06130018221215403</v>
      </c>
      <c r="G33" s="45">
        <f>0.878733526/'US$'!B221</f>
        <v>0.4327457529794149</v>
      </c>
      <c r="H33" s="45">
        <f>50.479866044/'US$'!B221</f>
        <v>24.85958142617945</v>
      </c>
      <c r="I33" s="45">
        <f>2.299071574/'US$'!B221</f>
        <v>1.1322129291834926</v>
      </c>
      <c r="J33" s="45">
        <f>0.503911422/'US$'!B221</f>
        <v>0.24815888013395057</v>
      </c>
      <c r="K33" s="29">
        <f>0.00192912/'US$'!B221</f>
        <v>0.0009500246232640599</v>
      </c>
      <c r="L33" s="45">
        <f>0.324813151/'US$'!B221</f>
        <v>0.15995919974391806</v>
      </c>
      <c r="M33" s="45">
        <f>0/'US$'!B221</f>
        <v>0</v>
      </c>
      <c r="N33" s="45">
        <f>1.367442459/'US$'!B221</f>
        <v>0.6734179350930759</v>
      </c>
      <c r="O33" s="45">
        <f>227.887905764/'US$'!B221</f>
        <v>112.22688159361765</v>
      </c>
      <c r="P33" s="45">
        <f>0/'US$'!B221</f>
        <v>0</v>
      </c>
      <c r="Q33" s="45">
        <f>0.27529364/'US$'!B221</f>
        <v>0.13557255983453165</v>
      </c>
      <c r="R33" s="45">
        <f>0.955546425/'US$'!B221</f>
        <v>0.47057343888505854</v>
      </c>
      <c r="S33" s="45">
        <f>0.876241542/'US$'!B221</f>
        <v>0.4315185373781148</v>
      </c>
      <c r="T33" s="45">
        <f>7.013106528/'US$'!B221</f>
        <v>3.453711478380774</v>
      </c>
      <c r="U33" s="45">
        <f>26.779470121/'US$'!B221</f>
        <v>13.187959283463014</v>
      </c>
      <c r="V33" s="45">
        <f>44.990285757/'US$'!B221</f>
        <v>22.15615372648478</v>
      </c>
      <c r="W33" s="45">
        <f>6.625692182/'US$'!B221</f>
        <v>3.2629233635378703</v>
      </c>
      <c r="X33" s="45">
        <f>3.985940519/'US$'!B221</f>
        <v>1.9629373185265437</v>
      </c>
      <c r="Y33" s="45">
        <f>493.200102191/'US$'!B221</f>
        <v>242.88392701221312</v>
      </c>
      <c r="Z33" s="45">
        <f>337.994875796/'US$'!B221</f>
        <v>166.45074155225055</v>
      </c>
      <c r="AA33" s="45">
        <f>0.021994993/'US$'!B221</f>
        <v>0.010831770412685906</v>
      </c>
      <c r="AB33" s="45">
        <f>4.588143403/'US$'!B221</f>
        <v>2.259501331133655</v>
      </c>
      <c r="AC33" s="45">
        <f>2.325248594/'US$'!B221</f>
        <v>1.1451042026987097</v>
      </c>
      <c r="AD33" s="45">
        <f>7.216587883/'US$'!B221</f>
        <v>3.553918981089333</v>
      </c>
      <c r="AE33" s="45">
        <f>6.850289345/'US$'!B221</f>
        <v>3.3735296685708653</v>
      </c>
      <c r="AF33" s="45">
        <f>3.151393957/'US$'!B221</f>
        <v>1.5519521111986603</v>
      </c>
    </row>
    <row r="34" spans="1:32" ht="12.75">
      <c r="A34" s="28">
        <v>41183</v>
      </c>
      <c r="B34" s="29">
        <f>(433.835818215+0.801451123+0.058455181)/'US$'!B222</f>
        <v>213.99878133165956</v>
      </c>
      <c r="C34" s="45">
        <f>6.887520551/'US$'!B222</f>
        <v>3.390695884901295</v>
      </c>
      <c r="D34" s="45">
        <f>2.249002561/'US$'!B222</f>
        <v>1.1071740072859746</v>
      </c>
      <c r="E34" s="45">
        <f>0.481329997/'US$'!B222</f>
        <v>0.23695662728302075</v>
      </c>
      <c r="F34" s="45">
        <f>0.138361355/'US$'!B222</f>
        <v>0.06811468271550239</v>
      </c>
      <c r="G34" s="45">
        <f>0.450591863/'US$'!B222</f>
        <v>0.22182437995372423</v>
      </c>
      <c r="H34" s="45">
        <f>64.8233329/'US$'!B222</f>
        <v>31.912239895633338</v>
      </c>
      <c r="I34" s="45">
        <f>2.872301437/'US$'!B222</f>
        <v>1.4140212853837444</v>
      </c>
      <c r="J34" s="45">
        <f>0.534841818/'US$'!B222</f>
        <v>0.2633002599320632</v>
      </c>
      <c r="K34" s="29">
        <f>0.002677975/'US$'!B222</f>
        <v>0.0013183552404863882</v>
      </c>
      <c r="L34" s="45">
        <f>0.396746356/'US$'!B222</f>
        <v>0.1953164751636883</v>
      </c>
      <c r="M34" s="45">
        <f>0/'US$'!B222</f>
        <v>0</v>
      </c>
      <c r="N34" s="45">
        <f>3.268899392/'US$'!B222</f>
        <v>1.6092647033919165</v>
      </c>
      <c r="O34" s="45">
        <f>242.241390046/'US$'!B222</f>
        <v>119.25436422291143</v>
      </c>
      <c r="P34" s="45">
        <f>0/'US$'!B222</f>
        <v>0</v>
      </c>
      <c r="Q34" s="45">
        <f>0.192790898/'US$'!B222</f>
        <v>0.09491010584354846</v>
      </c>
      <c r="R34" s="45">
        <f>1.06456683/'US$'!B222</f>
        <v>0.5240815389159652</v>
      </c>
      <c r="S34" s="45">
        <f>0.946437184/'US$'!B222</f>
        <v>0.4659268370009354</v>
      </c>
      <c r="T34" s="45">
        <f>7.550201844/'US$'!B222</f>
        <v>3.7169309525919365</v>
      </c>
      <c r="U34" s="45">
        <f>30.384288209/'US$'!B222</f>
        <v>14.958050612415695</v>
      </c>
      <c r="V34" s="45">
        <f>46.834268863/'US$'!B222</f>
        <v>23.05630328508837</v>
      </c>
      <c r="W34" s="45">
        <f>6.761781528/'US$'!B222</f>
        <v>3.328795120366268</v>
      </c>
      <c r="X34" s="45">
        <f>6.085937347/'US$'!B222</f>
        <v>2.99608002116871</v>
      </c>
      <c r="Y34" s="45">
        <f>443.749764862/'US$'!B222</f>
        <v>218.45604532171518</v>
      </c>
      <c r="Z34" s="45">
        <f>356.527180755/'US$'!B222</f>
        <v>175.51675319007535</v>
      </c>
      <c r="AA34" s="45">
        <f>0.021159829/'US$'!B222</f>
        <v>0.010416890168857383</v>
      </c>
      <c r="AB34" s="45">
        <f>5.298888188/'US$'!B222</f>
        <v>2.608619203465761</v>
      </c>
      <c r="AC34" s="45">
        <f>1.155549718/'US$'!B222</f>
        <v>0.5688720120120121</v>
      </c>
      <c r="AD34" s="45">
        <f>7.101671149/'US$'!B222</f>
        <v>3.4961212765224245</v>
      </c>
      <c r="AE34" s="45">
        <f>5.292647205/'US$'!B222</f>
        <v>2.605546795155812</v>
      </c>
      <c r="AF34" s="45">
        <f>2.604559078/'US$'!B222</f>
        <v>1.282212907005366</v>
      </c>
    </row>
    <row r="35" spans="1:32" ht="12.75">
      <c r="A35" s="28">
        <v>41214</v>
      </c>
      <c r="B35" s="29">
        <f>(439.171637762+0.879463367+0.063797481)/'US$'!B223</f>
        <v>208.84260159912688</v>
      </c>
      <c r="C35" s="45">
        <f>7.598966483/'US$'!B223</f>
        <v>3.605849142545316</v>
      </c>
      <c r="D35" s="45">
        <f>2.685204064/'US$'!B223</f>
        <v>1.2741786390813323</v>
      </c>
      <c r="E35" s="45">
        <f>0.524791668/'US$'!B223</f>
        <v>0.2490232836670779</v>
      </c>
      <c r="F35" s="45">
        <f>0.139098536/'US$'!B223</f>
        <v>0.06600480971813609</v>
      </c>
      <c r="G35" s="45">
        <f>2.102054365/'US$'!B223</f>
        <v>0.9974633980260035</v>
      </c>
      <c r="H35" s="45">
        <f>70.934836876/'US$'!B223</f>
        <v>33.65988273512385</v>
      </c>
      <c r="I35" s="45">
        <f>2.910513295/'US$'!B223</f>
        <v>1.3810920067381607</v>
      </c>
      <c r="J35" s="45">
        <f>0.520366429/'US$'!B223</f>
        <v>0.2469234264971054</v>
      </c>
      <c r="K35" s="29">
        <f>0.001507329/'US$'!B223</f>
        <v>0.000715255290879757</v>
      </c>
      <c r="L35" s="45">
        <f>0.459294443/'US$'!B223</f>
        <v>0.21794364762266297</v>
      </c>
      <c r="M35" s="45">
        <f>0/'US$'!B223</f>
        <v>0</v>
      </c>
      <c r="N35" s="45">
        <f>3.155059733/'US$'!B223</f>
        <v>1.4971337823858781</v>
      </c>
      <c r="O35" s="45">
        <f>237.808200813/'US$'!B223</f>
        <v>112.84435836243712</v>
      </c>
      <c r="P35" s="45">
        <f>0/'US$'!B223</f>
        <v>0</v>
      </c>
      <c r="Q35" s="45">
        <f>0.295170782/'US$'!B223</f>
        <v>0.14006395653411788</v>
      </c>
      <c r="R35" s="45">
        <f>1.093982374/'US$'!B223</f>
        <v>0.5191147262029041</v>
      </c>
      <c r="S35" s="45">
        <f>1.059005418/'US$'!B223</f>
        <v>0.502517518268957</v>
      </c>
      <c r="T35" s="45">
        <f>6.677178688/'US$'!B223</f>
        <v>3.168443906235171</v>
      </c>
      <c r="U35" s="45">
        <f>37.111910645/'US$'!B223</f>
        <v>17.610283119009207</v>
      </c>
      <c r="V35" s="45">
        <f>35.382399006/'US$'!B223</f>
        <v>16.789598085792917</v>
      </c>
      <c r="W35" s="45">
        <f>6.733003784/'US$'!B223</f>
        <v>3.1949339394514564</v>
      </c>
      <c r="X35" s="45">
        <f>6.148795932/'US$'!B223</f>
        <v>2.917716585365853</v>
      </c>
      <c r="Y35" s="45">
        <f>395.529471777/'US$'!B223</f>
        <v>187.6859978063016</v>
      </c>
      <c r="Z35" s="45">
        <f>247.346353081/'US$'!B223</f>
        <v>117.37038677090251</v>
      </c>
      <c r="AA35" s="45">
        <f>0.022139249/'US$'!B223</f>
        <v>0.010505480212584226</v>
      </c>
      <c r="AB35" s="45">
        <f>5.188405108/'US$'!B223</f>
        <v>2.461993502894562</v>
      </c>
      <c r="AC35" s="45">
        <f>1.720215223/'US$'!B223</f>
        <v>0.8162737131061972</v>
      </c>
      <c r="AD35" s="45">
        <f>6.704819972/'US$'!B223</f>
        <v>3.1815602030938597</v>
      </c>
      <c r="AE35" s="45">
        <f>7.846673118/'US$'!B223</f>
        <v>3.7233904897029513</v>
      </c>
      <c r="AF35" s="45">
        <f>5.465961195/'US$'!B223</f>
        <v>2.593698963177375</v>
      </c>
    </row>
    <row r="36" spans="1:32" ht="12.75">
      <c r="A36" s="28">
        <v>41244</v>
      </c>
      <c r="B36" s="29">
        <f>(462.691429667+0.568311437+0.177135485)/'US$'!B224</f>
        <v>226.7858461409347</v>
      </c>
      <c r="C36" s="45">
        <f>9.246796846/'US$'!B224</f>
        <v>4.524980105701004</v>
      </c>
      <c r="D36" s="45">
        <f>2.665800154/'US$'!B224</f>
        <v>1.3045266229508197</v>
      </c>
      <c r="E36" s="45">
        <f>0.64120597/'US$'!B224</f>
        <v>0.31377830682652313</v>
      </c>
      <c r="F36" s="45">
        <f>0.134953911/'US$'!B224</f>
        <v>0.06604057303645706</v>
      </c>
      <c r="G36" s="45">
        <f>2.059883799/'US$'!B224</f>
        <v>1.0080175184732079</v>
      </c>
      <c r="H36" s="45">
        <f>74.156354916/'US$'!B224</f>
        <v>36.28889401321263</v>
      </c>
      <c r="I36" s="45">
        <f>3.136462163/'US$'!B224</f>
        <v>1.5348481345730365</v>
      </c>
      <c r="J36" s="45">
        <f>0.537494322/'US$'!B224</f>
        <v>0.26302633814533893</v>
      </c>
      <c r="K36" s="29">
        <f>0.001507329/'US$'!B224</f>
        <v>0.0007376212380719355</v>
      </c>
      <c r="L36" s="45">
        <f>0.499181096/'US$'!B224</f>
        <v>0.24427751211157328</v>
      </c>
      <c r="M36" s="45">
        <f>0/'US$'!B224</f>
        <v>0</v>
      </c>
      <c r="N36" s="45">
        <f>3.476537337/'US$'!B224</f>
        <v>1.701266130168828</v>
      </c>
      <c r="O36" s="45">
        <f>242.051973981/'US$'!B224</f>
        <v>118.44970588744802</v>
      </c>
      <c r="P36" s="45">
        <f>(0/'US$'!B224)</f>
        <v>0</v>
      </c>
      <c r="Q36" s="45">
        <f>0.276175617/'US$'!B224</f>
        <v>0.13514833227306092</v>
      </c>
      <c r="R36" s="45">
        <f>0.934099641/'US$'!B224</f>
        <v>0.45710772742843164</v>
      </c>
      <c r="S36" s="45">
        <f>0.890196992/'US$'!B224</f>
        <v>0.4356236809395645</v>
      </c>
      <c r="T36" s="45">
        <f>5.021117392/'US$'!B224</f>
        <v>2.4571164139955957</v>
      </c>
      <c r="U36" s="45">
        <f>40.76433323/'US$'!B224</f>
        <v>19.948291279667238</v>
      </c>
      <c r="V36" s="45">
        <f>34.512626127/'US$'!B224</f>
        <v>16.888977796427696</v>
      </c>
      <c r="W36" s="45">
        <f>4.849018234/'US$'!B224</f>
        <v>2.372898573036457</v>
      </c>
      <c r="X36" s="45">
        <f>5.310245604/'US$'!B224</f>
        <v>2.5986031827746516</v>
      </c>
      <c r="Y36" s="45">
        <f>491.058465197/'US$'!B224</f>
        <v>240.30264996183018</v>
      </c>
      <c r="Z36" s="45">
        <f>221.302368221/'US$'!B224</f>
        <v>108.29575151504771</v>
      </c>
      <c r="AA36" s="45">
        <f>0.020768061/'US$'!B224</f>
        <v>0.010162985563983363</v>
      </c>
      <c r="AB36" s="45">
        <f>7.808370281/'US$'!B224</f>
        <v>3.821076721800832</v>
      </c>
      <c r="AC36" s="45">
        <f>1.236136123/'US$'!B224</f>
        <v>0.6049112419867875</v>
      </c>
      <c r="AD36" s="45">
        <f>6.306967959/'US$'!B224</f>
        <v>3.0863557421091263</v>
      </c>
      <c r="AE36" s="45">
        <f>6.826062742/'US$'!B224</f>
        <v>3.3403781463175926</v>
      </c>
      <c r="AF36" s="45">
        <f>2.166108151/'US$'!B224</f>
        <v>1.0599990951798386</v>
      </c>
    </row>
    <row r="37" spans="1:32" ht="12.75">
      <c r="A37" s="28">
        <v>41275</v>
      </c>
      <c r="B37" s="29">
        <f>(470.38668654+0.506194352+0.137172167)/'US$'!B225</f>
        <v>236.9008967756375</v>
      </c>
      <c r="C37" s="45">
        <f>8.897355822/'US$'!B225</f>
        <v>4.474855817532566</v>
      </c>
      <c r="D37" s="45">
        <f>3.455735696/'US$'!B225</f>
        <v>1.7380353548257306</v>
      </c>
      <c r="E37" s="45">
        <f>0.560006835/'US$'!B225</f>
        <v>0.28165107629633357</v>
      </c>
      <c r="F37" s="45">
        <f>0.135745245/'US$'!B225</f>
        <v>0.0682720137806166</v>
      </c>
      <c r="G37" s="45">
        <f>1.282249115/'US$'!B225</f>
        <v>0.6448972061560126</v>
      </c>
      <c r="H37" s="45">
        <f>73.082049415/'US$'!B225</f>
        <v>36.75604758587738</v>
      </c>
      <c r="I37" s="45">
        <f>2.470930463/'US$'!B225</f>
        <v>1.2427352326107732</v>
      </c>
      <c r="J37" s="45">
        <f>0.567074871/'US$'!B225</f>
        <v>0.285205889956244</v>
      </c>
      <c r="K37" s="29">
        <f>0.001507329/'US$'!B225</f>
        <v>0.0007580993813810793</v>
      </c>
      <c r="L37" s="45">
        <f>0.55105208/'US$'!B225</f>
        <v>0.27714735200925417</v>
      </c>
      <c r="M37" s="45">
        <f>0/'US$'!B225</f>
        <v>0</v>
      </c>
      <c r="N37" s="45">
        <f>3.441900341/'US$'!B225</f>
        <v>1.7310769707790576</v>
      </c>
      <c r="O37" s="45">
        <f>244.150665082/'US$'!B225</f>
        <v>122.79367554292611</v>
      </c>
      <c r="P37" s="45">
        <f>0/'US$'!B225</f>
        <v>0</v>
      </c>
      <c r="Q37" s="45">
        <f>0.233191107/'US$'!B225</f>
        <v>0.11728165115928181</v>
      </c>
      <c r="R37" s="45">
        <f>0.760580121/'US$'!B225</f>
        <v>0.38252784841321735</v>
      </c>
      <c r="S37" s="45">
        <f>0.947871508/'US$'!B225</f>
        <v>0.47672459286827945</v>
      </c>
      <c r="T37" s="45">
        <f>6.360889911/'US$'!B225</f>
        <v>3.1991600417442037</v>
      </c>
      <c r="U37" s="45">
        <f>38.008951796/'US$'!B225</f>
        <v>19.1163062897953</v>
      </c>
      <c r="V37" s="45">
        <f>45.121722691/'US$'!B225</f>
        <v>22.693619016747977</v>
      </c>
      <c r="W37" s="45">
        <f>4.687504404/'US$'!B225</f>
        <v>2.3575438334255394</v>
      </c>
      <c r="X37" s="45">
        <f>5.430431168/'US$'!B225</f>
        <v>2.731193063421013</v>
      </c>
      <c r="Y37" s="45">
        <f>339.334485059/'US$'!B225</f>
        <v>170.6656365030428</v>
      </c>
      <c r="Z37" s="45">
        <f>165.901790041/'US$'!B225</f>
        <v>83.4390132480008</v>
      </c>
      <c r="AA37" s="45">
        <f>0.020326563/'US$'!B225</f>
        <v>0.010223086556354675</v>
      </c>
      <c r="AB37" s="45">
        <f>5.495395294/'US$'!B225</f>
        <v>2.763866264648192</v>
      </c>
      <c r="AC37" s="45">
        <f>2.63556342/'US$'!B225</f>
        <v>1.3255360961625509</v>
      </c>
      <c r="AD37" s="45">
        <f>7.505105401/'US$'!B225</f>
        <v>3.7746343112206406</v>
      </c>
      <c r="AE37" s="45">
        <f>9.740049671/'US$'!B225</f>
        <v>4.8986821259367295</v>
      </c>
      <c r="AF37" s="45">
        <f>3.004768057/'US$'!B225</f>
        <v>1.5112246929537798</v>
      </c>
    </row>
    <row r="38" spans="1:32" ht="12.75">
      <c r="A38" s="28">
        <v>41306</v>
      </c>
      <c r="B38" s="29">
        <f>(468.016852476+0.551698215+0.13479371)/'US$'!B226</f>
        <v>237.27009436114204</v>
      </c>
      <c r="C38" s="45">
        <f>10.48077924/'US$'!B226</f>
        <v>5.305649103978941</v>
      </c>
      <c r="D38" s="45">
        <f>3.975364806/'US$'!B226</f>
        <v>2.012435357902197</v>
      </c>
      <c r="E38" s="45">
        <f>0.523280303/'US$'!B226</f>
        <v>0.2648984018426647</v>
      </c>
      <c r="F38" s="45">
        <f>0.136398809/'US$'!B226</f>
        <v>0.06904870355371065</v>
      </c>
      <c r="G38" s="45">
        <f>1.149335605/'US$'!B226</f>
        <v>0.5818242406601195</v>
      </c>
      <c r="H38" s="45">
        <f>72.788066808/'US$'!B226</f>
        <v>36.84725463602308</v>
      </c>
      <c r="I38" s="45">
        <f>3.018985926/'US$'!B226</f>
        <v>1.5282909415814518</v>
      </c>
      <c r="J38" s="45">
        <f>0.577264777/'US$'!B226</f>
        <v>0.2922267778677736</v>
      </c>
      <c r="K38" s="29">
        <f>0.001507329/'US$'!B226</f>
        <v>0.0007630500151867976</v>
      </c>
      <c r="L38" s="45">
        <f>0.598040223/'US$'!B226</f>
        <v>0.3027438609901792</v>
      </c>
      <c r="M38" s="45">
        <f>0/'US$'!B226</f>
        <v>0</v>
      </c>
      <c r="N38" s="45">
        <f>3.490107526/'US$'!B226</f>
        <v>1.7667852212210184</v>
      </c>
      <c r="O38" s="45">
        <f>241.0562457/'US$'!B226</f>
        <v>122.02908054065</v>
      </c>
      <c r="P38" s="45">
        <f>0/'US$'!B226</f>
        <v>0</v>
      </c>
      <c r="Q38" s="45">
        <f>0.257675205/'US$'!B226</f>
        <v>0.1304420395869191</v>
      </c>
      <c r="R38" s="45">
        <f>0.773727969/'US$'!B226</f>
        <v>0.3916816690290574</v>
      </c>
      <c r="S38" s="45">
        <f>0.947965291/'US$'!B226</f>
        <v>0.4798852338766832</v>
      </c>
      <c r="T38" s="45">
        <f>4.297261801/'US$'!B226</f>
        <v>2.175388175053154</v>
      </c>
      <c r="U38" s="45">
        <f>25.076655344/'US$'!B226</f>
        <v>12.694469648678748</v>
      </c>
      <c r="V38" s="45">
        <f>28.933779667/'US$'!B226</f>
        <v>14.647048530424218</v>
      </c>
      <c r="W38" s="45">
        <f>4.621868973/'US$'!B226</f>
        <v>2.3397129558570415</v>
      </c>
      <c r="X38" s="45">
        <f>4.989154135/'US$'!B226</f>
        <v>2.525642469879518</v>
      </c>
      <c r="Y38" s="45">
        <f>323.200749717/'US$'!B226</f>
        <v>163.61281245165537</v>
      </c>
      <c r="Z38" s="45">
        <f>180.152398572/'US$'!B226</f>
        <v>91.1979338726334</v>
      </c>
      <c r="AA38" s="45">
        <f>0.019120131/'US$'!B226</f>
        <v>0.009679118659511996</v>
      </c>
      <c r="AB38" s="45">
        <f>5.367390405/'US$'!B226</f>
        <v>2.7171157259289256</v>
      </c>
      <c r="AC38" s="45">
        <f>1.745892624/'US$'!B226</f>
        <v>0.8838172643515236</v>
      </c>
      <c r="AD38" s="45">
        <f>8.311587331/'US$'!B226</f>
        <v>4.207546487293713</v>
      </c>
      <c r="AE38" s="45">
        <f>10.289230016/'US$'!B226</f>
        <v>5.208681794067024</v>
      </c>
      <c r="AF38" s="45">
        <f>3.133455761/'US$'!B226</f>
        <v>1.5862386154702846</v>
      </c>
    </row>
    <row r="39" spans="1:32" ht="12.75">
      <c r="A39" s="28">
        <v>41334</v>
      </c>
      <c r="B39" s="29">
        <f>(461.908966071+0.562602112+0.112821397)/'US$'!B227</f>
        <v>229.70721500645547</v>
      </c>
      <c r="C39" s="45">
        <f>11.290012921/'US$'!B227</f>
        <v>5.606322832952627</v>
      </c>
      <c r="D39" s="45">
        <f>3.919614783/'US$'!B227</f>
        <v>1.9463773875260704</v>
      </c>
      <c r="E39" s="45">
        <f>0.486876729/'US$'!B227</f>
        <v>0.24177015046181352</v>
      </c>
      <c r="F39" s="45">
        <f>0.137132034/'US$'!B227</f>
        <v>0.06809615354057008</v>
      </c>
      <c r="G39" s="45">
        <f>1.314997519/'US$'!B227</f>
        <v>0.6529931070612772</v>
      </c>
      <c r="H39" s="45">
        <f>74.556405992/'US$'!B227</f>
        <v>37.02274604826696</v>
      </c>
      <c r="I39" s="45">
        <f>5.131013648/'US$'!B227</f>
        <v>2.5479261336776244</v>
      </c>
      <c r="J39" s="45">
        <f>0.568842063/'US$'!B227</f>
        <v>0.2824719748733737</v>
      </c>
      <c r="K39" s="29">
        <f>0.001567329/'US$'!B227</f>
        <v>0.0007782942695401729</v>
      </c>
      <c r="L39" s="45">
        <f>0.644976719/'US$'!B227</f>
        <v>0.32027843827589636</v>
      </c>
      <c r="M39" s="45">
        <f>0/'US$'!B227</f>
        <v>0</v>
      </c>
      <c r="N39" s="45">
        <f>3.368478479/'US$'!B227</f>
        <v>1.6726976258814186</v>
      </c>
      <c r="O39" s="45">
        <f>246.544957532/'US$'!B227</f>
        <v>122.42772744661835</v>
      </c>
      <c r="P39" s="45">
        <f>0/'US$'!B227</f>
        <v>0</v>
      </c>
      <c r="Q39" s="45">
        <f>0.268229703/'US$'!B227</f>
        <v>0.1331958004767107</v>
      </c>
      <c r="R39" s="45">
        <f>0.926933515/'US$'!B227</f>
        <v>0.4602907513159202</v>
      </c>
      <c r="S39" s="45">
        <f>1.019568003/'US$'!B227</f>
        <v>0.506290596384944</v>
      </c>
      <c r="T39" s="45">
        <f>17.85446475/'US$'!B227</f>
        <v>8.866056584566493</v>
      </c>
      <c r="U39" s="45">
        <f>33.342989596/'US$'!B227</f>
        <v>16.55724977455557</v>
      </c>
      <c r="V39" s="45">
        <f>26.490106884/'US$'!B227</f>
        <v>13.154288848942299</v>
      </c>
      <c r="W39" s="45">
        <f>4.487301966/'US$'!B227</f>
        <v>2.22827587943192</v>
      </c>
      <c r="X39" s="45">
        <f>5.657281653/'US$'!B227</f>
        <v>2.8092569535207073</v>
      </c>
      <c r="Y39" s="45">
        <f>497.827935352/'US$'!B227</f>
        <v>247.20823088290797</v>
      </c>
      <c r="Z39" s="45">
        <f>256.748483749/'US$'!B227</f>
        <v>127.49452962012117</v>
      </c>
      <c r="AA39" s="45">
        <f>0.019728282/'US$'!B227</f>
        <v>0.009796544840599861</v>
      </c>
      <c r="AB39" s="45">
        <f>5.896119144/'US$'!B227</f>
        <v>2.927857356241931</v>
      </c>
      <c r="AC39" s="45">
        <f>4.279817877/'US$'!B227</f>
        <v>2.125244749726885</v>
      </c>
      <c r="AD39" s="45">
        <f>9.134857288/'US$'!B227</f>
        <v>4.536129351474823</v>
      </c>
      <c r="AE39" s="45">
        <f>10.035919487/'US$'!B227</f>
        <v>4.983573089184627</v>
      </c>
      <c r="AF39" s="45">
        <f>3.527605452/'US$'!B227</f>
        <v>1.7517158863839508</v>
      </c>
    </row>
    <row r="40" spans="1:32" ht="12.75">
      <c r="A40" s="28">
        <v>41365</v>
      </c>
      <c r="B40" s="29">
        <f>(460.465209963+0.638831173+0.170444443)/'US$'!B228</f>
        <v>230.44136762701706</v>
      </c>
      <c r="C40" s="45">
        <f>12.962118161/'US$'!B228</f>
        <v>6.47555485886996</v>
      </c>
      <c r="D40" s="45">
        <f>3.307881118/'US$'!B228</f>
        <v>1.6525359034820404</v>
      </c>
      <c r="E40" s="45">
        <f>0.487073535/'US$'!B228</f>
        <v>0.24332993705350453</v>
      </c>
      <c r="F40" s="45">
        <f>0.137954805/'US$'!B228</f>
        <v>0.06891882150172354</v>
      </c>
      <c r="G40" s="45">
        <f>1.943662267/'US$'!B228</f>
        <v>0.9710057785882</v>
      </c>
      <c r="H40" s="45">
        <f>76.057423982/'US$'!B228</f>
        <v>37.99641503821751</v>
      </c>
      <c r="I40" s="45">
        <f>3.325048856/'US$'!B228</f>
        <v>1.6611124823899686</v>
      </c>
      <c r="J40" s="45">
        <f>0.583062043/'US$'!B228</f>
        <v>0.2912834305840036</v>
      </c>
      <c r="K40" s="29">
        <f>0.001567329/'US$'!B228</f>
        <v>0.000782998950891742</v>
      </c>
      <c r="L40" s="45">
        <f>0.700640462/'US$'!B228</f>
        <v>0.35002271169505916</v>
      </c>
      <c r="M40" s="45">
        <f>0/'US$'!B228</f>
        <v>0</v>
      </c>
      <c r="N40" s="45">
        <f>3.399910609/'US$'!B228</f>
        <v>1.698511569665784</v>
      </c>
      <c r="O40" s="45">
        <f>254.177638401/'US$'!B228</f>
        <v>126.98088544786931</v>
      </c>
      <c r="P40" s="45">
        <f>0/'US$'!B228</f>
        <v>0</v>
      </c>
      <c r="Q40" s="45">
        <f>0.241535863/'US$'!B228</f>
        <v>0.12066536593895189</v>
      </c>
      <c r="R40" s="45">
        <f>0.835303731/'US$'!B228</f>
        <v>0.4172971629115252</v>
      </c>
      <c r="S40" s="45">
        <f>1.057408507/'US$'!B228</f>
        <v>0.5282552365489335</v>
      </c>
      <c r="T40" s="45">
        <f>7.718730392/'US$'!B228</f>
        <v>3.8560875216066344</v>
      </c>
      <c r="U40" s="45">
        <f>27.500140759/'US$'!B228</f>
        <v>13.738392745666184</v>
      </c>
      <c r="V40" s="45">
        <f>35.366801087/'US$'!B228</f>
        <v>17.66838241844432</v>
      </c>
      <c r="W40" s="45">
        <f>2.571030526/'US$'!B228</f>
        <v>1.284423503022431</v>
      </c>
      <c r="X40" s="45">
        <f>4.952618148/'US$'!B228</f>
        <v>2.474205998900934</v>
      </c>
      <c r="Y40" s="45">
        <f>411.099282718/'US$'!B228</f>
        <v>205.37507254733475</v>
      </c>
      <c r="Z40" s="45">
        <f>196.635952639/'US$'!B228</f>
        <v>98.23447701403808</v>
      </c>
      <c r="AA40" s="45">
        <f>0.018057764/'US$'!B228</f>
        <v>0.009021213968127093</v>
      </c>
      <c r="AB40" s="45">
        <f>6.113745974/'US$'!B228</f>
        <v>3.0542768516760757</v>
      </c>
      <c r="AC40" s="45">
        <f>2.270347597/'US$'!B228</f>
        <v>1.1342097202377979</v>
      </c>
      <c r="AD40" s="45">
        <f>8.405826096/'US$'!B228</f>
        <v>4.199343605934955</v>
      </c>
      <c r="AE40" s="45">
        <f>13.190054638/'US$'!B228</f>
        <v>6.589426306639356</v>
      </c>
      <c r="AF40" s="45">
        <f>4.456779132/'US$'!B228</f>
        <v>2.2264970435130143</v>
      </c>
    </row>
    <row r="41" spans="1:32" ht="12.75">
      <c r="A41" s="28">
        <v>41395</v>
      </c>
      <c r="B41" s="29">
        <f>(467.415173923+0.598879021+0.249268781)/'US$'!B229</f>
        <v>219.64600671935835</v>
      </c>
      <c r="C41" s="45">
        <f>11.68146948/'US$'!B229</f>
        <v>5.479370270650594</v>
      </c>
      <c r="D41" s="45">
        <f>2.131962257/'US$'!B229</f>
        <v>1.0000292025892397</v>
      </c>
      <c r="E41" s="45">
        <f>0.505611335/'US$'!B229</f>
        <v>0.23716465828603595</v>
      </c>
      <c r="F41" s="45">
        <f>0.143653263/'US$'!B229</f>
        <v>0.06738273980955956</v>
      </c>
      <c r="G41" s="45">
        <f>2.379928247/'US$'!B229</f>
        <v>1.1163414076645246</v>
      </c>
      <c r="H41" s="45">
        <f>73.310381201/'US$'!B229</f>
        <v>34.38734518551527</v>
      </c>
      <c r="I41" s="45">
        <f>2.7643255/'US$'!B229</f>
        <v>1.2966487640133215</v>
      </c>
      <c r="J41" s="45">
        <f>0.637812845/'US$'!B229</f>
        <v>0.2991757798208171</v>
      </c>
      <c r="K41" s="29">
        <f>0.002574896/'US$'!B229</f>
        <v>0.0012077939865847368</v>
      </c>
      <c r="L41" s="45">
        <f>0.752785176/'US$'!B229</f>
        <v>0.35310529386931844</v>
      </c>
      <c r="M41" s="45">
        <f>0/'US$'!B229</f>
        <v>0</v>
      </c>
      <c r="N41" s="45">
        <f>4.107486407/'US$'!B229</f>
        <v>1.9266787405600638</v>
      </c>
      <c r="O41" s="45">
        <f>240.842130591/'US$'!B229</f>
        <v>112.97065087058493</v>
      </c>
      <c r="P41" s="45">
        <f>0/'US$'!B229</f>
        <v>0</v>
      </c>
      <c r="Q41" s="45">
        <f>0.225239897/'US$'!B229</f>
        <v>0.10565218678174398</v>
      </c>
      <c r="R41" s="45">
        <f>1.124106044/'US$'!B229</f>
        <v>0.5272789736854449</v>
      </c>
      <c r="S41" s="45">
        <f>1.46375938/'US$'!B229</f>
        <v>0.6865985177541161</v>
      </c>
      <c r="T41" s="45">
        <f>6.262173861/'US$'!B229</f>
        <v>2.937367541160467</v>
      </c>
      <c r="U41" s="45">
        <f>36.561243996/'US$'!B229</f>
        <v>17.14960551432994</v>
      </c>
      <c r="V41" s="45">
        <f>46.122272929/'US$'!B229</f>
        <v>21.634351015056993</v>
      </c>
      <c r="W41" s="45">
        <f>3.164805959/'US$'!B229</f>
        <v>1.4845001918476477</v>
      </c>
      <c r="X41" s="45">
        <f>4.791055197/'US$'!B229</f>
        <v>2.2473170397298188</v>
      </c>
      <c r="Y41" s="45">
        <f>574.057465788/'US$'!B229</f>
        <v>269.2703531066185</v>
      </c>
      <c r="Z41" s="45">
        <f>231.391890585/'US$'!B229</f>
        <v>108.53787259486843</v>
      </c>
      <c r="AA41" s="45">
        <f>0.018014108/'US$'!B229</f>
        <v>0.008449790327876542</v>
      </c>
      <c r="AB41" s="45">
        <f>9.05115323/'US$'!B229</f>
        <v>4.245580576012008</v>
      </c>
      <c r="AC41" s="45">
        <f>0.429351364/'US$'!B229</f>
        <v>0.20139376330972372</v>
      </c>
      <c r="AD41" s="45">
        <f>8.558777275/'US$'!B229</f>
        <v>4.014624173272668</v>
      </c>
      <c r="AE41" s="45">
        <f>10.495187063/'US$'!B229</f>
        <v>4.922926527041606</v>
      </c>
      <c r="AF41" s="45">
        <f>4.516545452/'US$'!B229</f>
        <v>2.1185540841502886</v>
      </c>
    </row>
    <row r="42" spans="1:32" ht="12.75">
      <c r="A42" s="28">
        <v>41426</v>
      </c>
      <c r="B42" s="29">
        <f>(423.292630081+0.48695685+0.174698799)/'US$'!B230</f>
        <v>191.3496505371006</v>
      </c>
      <c r="C42" s="45">
        <f>9.597904686/'US$'!B230</f>
        <v>4.3319663684780645</v>
      </c>
      <c r="D42" s="45">
        <f>2.86160672/'US$'!B230</f>
        <v>1.2915719082866945</v>
      </c>
      <c r="E42" s="45">
        <f>0.397839217/'US$'!B230</f>
        <v>0.17956274462899444</v>
      </c>
      <c r="F42" s="45">
        <f>0.143617922/'US$'!B230</f>
        <v>0.06482123217187219</v>
      </c>
      <c r="G42" s="45">
        <f>2.408184456/'US$'!B230</f>
        <v>1.0869220328579166</v>
      </c>
      <c r="H42" s="45">
        <f>73.073180139/'US$'!B230</f>
        <v>32.98121508349883</v>
      </c>
      <c r="I42" s="45">
        <f>6.085458309/'US$'!B230</f>
        <v>2.7466412299151473</v>
      </c>
      <c r="J42" s="45">
        <f>0.634296058/'US$'!B230</f>
        <v>0.2862863594511645</v>
      </c>
      <c r="K42" s="29">
        <f>0.002574896/'US$'!B230</f>
        <v>0.0011621664560389963</v>
      </c>
      <c r="L42" s="45">
        <f>0.800125021/'US$'!B230</f>
        <v>0.3611324341036289</v>
      </c>
      <c r="M42" s="45">
        <f>0/'US$'!B230</f>
        <v>0</v>
      </c>
      <c r="N42" s="45">
        <f>4.135269196/'US$'!B230</f>
        <v>1.8664331088644164</v>
      </c>
      <c r="O42" s="45">
        <f>250.71644694/'US$'!B230</f>
        <v>113.15961678100741</v>
      </c>
      <c r="P42" s="45">
        <f>0/'US$'!B230</f>
        <v>0</v>
      </c>
      <c r="Q42" s="45">
        <f>0.222876547/'US$'!B230</f>
        <v>0.10059421691641092</v>
      </c>
      <c r="R42" s="45">
        <f>1.424703521/'US$'!B230</f>
        <v>0.6430328222603359</v>
      </c>
      <c r="S42" s="45">
        <f>1.510331015/'US$'!B230</f>
        <v>0.6816803642354217</v>
      </c>
      <c r="T42" s="45">
        <f>8.922166197/'US$'!B230</f>
        <v>4.026975174670518</v>
      </c>
      <c r="U42" s="45">
        <f>61.608266756/'US$'!B230</f>
        <v>27.80658365950533</v>
      </c>
      <c r="V42" s="45">
        <f>49.489921552/'US$'!B230</f>
        <v>22.337029044953965</v>
      </c>
      <c r="W42" s="45">
        <f>2.464789806/'US$'!B230</f>
        <v>1.1124705750135406</v>
      </c>
      <c r="X42" s="45">
        <f>3.16999603/'US$'!B230</f>
        <v>1.4307618839140641</v>
      </c>
      <c r="Y42" s="45">
        <f>482.868353447/'US$'!B230</f>
        <v>217.9402209094602</v>
      </c>
      <c r="Z42" s="45">
        <f>205.810372048/'US$'!B230</f>
        <v>92.89148404405128</v>
      </c>
      <c r="AA42" s="45">
        <f>0.016585788/'US$'!B230</f>
        <v>0.007485912619606428</v>
      </c>
      <c r="AB42" s="45">
        <f>6.118417205/'US$'!B230</f>
        <v>2.7615170630980326</v>
      </c>
      <c r="AC42" s="45">
        <f>0.374707107/'US$'!B230</f>
        <v>0.1691221822531143</v>
      </c>
      <c r="AD42" s="45">
        <f>7.500012134/'US$'!B230</f>
        <v>3.385093037551905</v>
      </c>
      <c r="AE42" s="45">
        <f>9.539334453/'US$'!B230</f>
        <v>4.305530986188844</v>
      </c>
      <c r="AF42" s="45">
        <f>4.571427885/'US$'!B230</f>
        <v>2.063291155894566</v>
      </c>
    </row>
    <row r="43" spans="1:32" ht="12.75">
      <c r="A43" s="28">
        <v>41456</v>
      </c>
      <c r="B43" s="29">
        <f>(433.867876254+0.615085243+0.128486573)/'US$'!B231</f>
        <v>189.76179892153868</v>
      </c>
      <c r="C43" s="45">
        <f>8.744630088/'US$'!B231</f>
        <v>3.818115569139414</v>
      </c>
      <c r="D43" s="45">
        <f>3.035430662/'US$'!B231</f>
        <v>1.325341947343143</v>
      </c>
      <c r="E43" s="45">
        <f>0.415000989/'US$'!B231</f>
        <v>0.1811994013884644</v>
      </c>
      <c r="F43" s="45">
        <f>0.143910024/'US$'!B231</f>
        <v>0.0628345736366415</v>
      </c>
      <c r="G43" s="45">
        <f>1.514261141/'US$'!B231</f>
        <v>0.6611627913373794</v>
      </c>
      <c r="H43" s="45">
        <f>71.9941776/'US$'!B231</f>
        <v>31.43438746015806</v>
      </c>
      <c r="I43" s="45">
        <f>3.556754212/'US$'!B231</f>
        <v>1.5529643330568048</v>
      </c>
      <c r="J43" s="45">
        <f>0.655088549/'US$'!B231</f>
        <v>0.28602739772082264</v>
      </c>
      <c r="K43" s="29">
        <f>0.001589113/'US$'!B231</f>
        <v>0.0006938449111470115</v>
      </c>
      <c r="L43" s="45">
        <f>0.856190079/'US$'!B231</f>
        <v>0.3738331567916867</v>
      </c>
      <c r="M43" s="45">
        <f>0/'US$'!B231</f>
        <v>0</v>
      </c>
      <c r="N43" s="45">
        <f>4.864988761/'US$'!B231</f>
        <v>2.124170964939091</v>
      </c>
      <c r="O43" s="45">
        <f>262.324156205/'US$'!B231</f>
        <v>114.53702842640703</v>
      </c>
      <c r="P43" s="45">
        <f>0/'US$'!B231</f>
        <v>0</v>
      </c>
      <c r="Q43" s="45">
        <f>0.204114195/'US$'!B231</f>
        <v>0.08912116098327731</v>
      </c>
      <c r="R43" s="45">
        <f>1.441515502/'US$'!B231</f>
        <v>0.6294002977775838</v>
      </c>
      <c r="S43" s="45">
        <f>1.433713602/'US$'!B231</f>
        <v>0.6259938008121207</v>
      </c>
      <c r="T43" s="45">
        <f>9.385198458/'US$'!B231</f>
        <v>4.0978031078897965</v>
      </c>
      <c r="U43" s="45">
        <f>71.381179288/'US$'!B231</f>
        <v>31.166737671047464</v>
      </c>
      <c r="V43" s="45">
        <f>41.747738383/'US$'!B231</f>
        <v>18.22806548618085</v>
      </c>
      <c r="W43" s="45">
        <f>4.547953338/'US$'!B231</f>
        <v>1.9857456830982843</v>
      </c>
      <c r="X43" s="45">
        <f>4.461337282/'US$'!B231</f>
        <v>1.9479270322665154</v>
      </c>
      <c r="Y43" s="45">
        <f>293.846564222/'US$'!B231</f>
        <v>128.30046903113129</v>
      </c>
      <c r="Z43" s="45">
        <f>150.986541618/'US$'!B231</f>
        <v>65.92435122822337</v>
      </c>
      <c r="AA43" s="45">
        <f>0/'US$'!B231</f>
        <v>0</v>
      </c>
      <c r="AB43" s="45">
        <f>7.27608886/'US$'!B231</f>
        <v>3.1769151901497623</v>
      </c>
      <c r="AC43" s="45">
        <f>0.898447395/'US$'!B231</f>
        <v>0.39228371610706025</v>
      </c>
      <c r="AD43" s="45">
        <f>5.585581893/'US$'!B231</f>
        <v>2.438799237217832</v>
      </c>
      <c r="AE43" s="45">
        <f>7.544666723/'US$'!B231</f>
        <v>3.294182737196001</v>
      </c>
      <c r="AF43" s="45">
        <f>4.040216229/'US$'!B231</f>
        <v>1.7640554639130248</v>
      </c>
    </row>
    <row r="44" spans="1:32" ht="12.75">
      <c r="A44" s="28">
        <v>41487</v>
      </c>
      <c r="B44" s="29">
        <f>(468.063913335+0.528885817+0.091706583)/'US$'!B232</f>
        <v>197.5487906153846</v>
      </c>
      <c r="C44" s="45">
        <f>6.290969378/'US$'!B232</f>
        <v>2.6516203911485774</v>
      </c>
      <c r="D44" s="45">
        <f>3.605781279/'US$'!B232</f>
        <v>1.5198235106427818</v>
      </c>
      <c r="E44" s="45">
        <f>0.330325358/'US$'!B232</f>
        <v>0.1392309201264489</v>
      </c>
      <c r="F44" s="45">
        <f>0.145919083/'US$'!B232</f>
        <v>0.06150435532139094</v>
      </c>
      <c r="G44" s="45">
        <f>1.246040714/'US$'!B232</f>
        <v>0.5252015654373025</v>
      </c>
      <c r="H44" s="45">
        <f>66.053206021/'US$'!B232</f>
        <v>27.84118272750263</v>
      </c>
      <c r="I44" s="45">
        <f>3.93258249/'US$'!B232</f>
        <v>1.6575690158061118</v>
      </c>
      <c r="J44" s="45">
        <f>0.6568286/'US$'!B232</f>
        <v>0.276850832455216</v>
      </c>
      <c r="K44" s="29">
        <f>0.000989883/'US$'!B232</f>
        <v>0.00041723203371970494</v>
      </c>
      <c r="L44" s="45">
        <f>0.961044358/'US$'!B232</f>
        <v>0.4050766524762908</v>
      </c>
      <c r="M44" s="45">
        <f>0/'US$'!B232</f>
        <v>0</v>
      </c>
      <c r="N44" s="45">
        <f>4.788473029/'US$'!B232</f>
        <v>2.0183237213909377</v>
      </c>
      <c r="O44" s="45">
        <f>291.27710166/'US$'!B232</f>
        <v>122.7722240927292</v>
      </c>
      <c r="P44" s="45">
        <f>0/'US$'!B232</f>
        <v>0</v>
      </c>
      <c r="Q44" s="45">
        <f>0.254682369/'US$'!B232</f>
        <v>0.10734767924130664</v>
      </c>
      <c r="R44" s="45">
        <f>1.267782949/'US$'!B232</f>
        <v>0.5343658373024236</v>
      </c>
      <c r="S44" s="45">
        <f>1.290121057/'US$'!B232</f>
        <v>0.5437812674394098</v>
      </c>
      <c r="T44" s="45">
        <f>8.653927172/'US$'!B232</f>
        <v>3.6475983865121178</v>
      </c>
      <c r="U44" s="45">
        <f>65.798975124/'US$'!B232</f>
        <v>27.734025342044255</v>
      </c>
      <c r="V44" s="45">
        <f>29.697806014/'US$'!B232</f>
        <v>12.517515706638568</v>
      </c>
      <c r="W44" s="45">
        <f>4.333519966/'US$'!B232</f>
        <v>1.8265626832455215</v>
      </c>
      <c r="X44" s="45">
        <f>3.415237164/'US$'!B232</f>
        <v>1.439509868914647</v>
      </c>
      <c r="Y44" s="45">
        <f>304.324870324/'US$'!B232</f>
        <v>128.27181046322445</v>
      </c>
      <c r="Z44" s="45">
        <f>142.878012124/'US$'!B232</f>
        <v>60.22255516290833</v>
      </c>
      <c r="AA44" s="45">
        <f>0/'US$'!B232</f>
        <v>0</v>
      </c>
      <c r="AB44" s="45">
        <f>7.544292231/'US$'!B232</f>
        <v>3.179891351317176</v>
      </c>
      <c r="AC44" s="45">
        <f>0.860976363/'US$'!B232</f>
        <v>0.3628983616438356</v>
      </c>
      <c r="AD44" s="45">
        <f>6.380271127/'US$'!B232</f>
        <v>2.6892607489989464</v>
      </c>
      <c r="AE44" s="45">
        <f>12.571120274/'US$'!B232</f>
        <v>5.298680832033719</v>
      </c>
      <c r="AF44" s="45">
        <f>3.571672104/'US$'!B232</f>
        <v>1.5054466191780822</v>
      </c>
    </row>
    <row r="45" spans="1:32" ht="12.75">
      <c r="A45" s="28">
        <v>41518</v>
      </c>
      <c r="B45" s="29">
        <f>(468.21673145+0.528885817+0.091709546)/'US$'!B233</f>
        <v>210.2409537278027</v>
      </c>
      <c r="C45" s="45">
        <f>6.290969378/'US$'!B233</f>
        <v>2.8210625013452915</v>
      </c>
      <c r="D45" s="45">
        <f>3.605781279/'US$'!B233</f>
        <v>1.6169422775784752</v>
      </c>
      <c r="E45" s="45">
        <f>0.330325358/'US$'!B233</f>
        <v>0.14812796322869956</v>
      </c>
      <c r="F45" s="45">
        <f>0.145919083/'US$'!B233</f>
        <v>0.06543456636771301</v>
      </c>
      <c r="G45" s="45">
        <f>1.246040714/'US$'!B233</f>
        <v>0.5587626520179373</v>
      </c>
      <c r="H45" s="45">
        <f>66.053206021/'US$'!B233</f>
        <v>29.62027175829596</v>
      </c>
      <c r="I45" s="45">
        <f>3.93258249/'US$'!B233</f>
        <v>1.7634899058295965</v>
      </c>
      <c r="J45" s="45">
        <f>0.6568286/'US$'!B233</f>
        <v>0.2945419730941704</v>
      </c>
      <c r="K45" s="29">
        <f>0.000989883/'US$'!B233</f>
        <v>0.00044389372197309416</v>
      </c>
      <c r="L45" s="45">
        <f>0.961044358/'US$'!B233</f>
        <v>0.4309615955156951</v>
      </c>
      <c r="M45" s="45">
        <f>0/'US$'!B233</f>
        <v>0</v>
      </c>
      <c r="N45" s="45">
        <f>4.788473029/'US$'!B233</f>
        <v>2.147297322421525</v>
      </c>
      <c r="O45" s="45">
        <f>291.27715399/'US$'!B233</f>
        <v>130.61755784304933</v>
      </c>
      <c r="P45" s="45">
        <f>0/'US$'!B233</f>
        <v>0</v>
      </c>
      <c r="Q45" s="45">
        <f>0.254682369/'US$'!B233</f>
        <v>0.1142073403587444</v>
      </c>
      <c r="R45" s="45">
        <f>1.267782949/'US$'!B233</f>
        <v>0.5685125331838565</v>
      </c>
      <c r="S45" s="45">
        <f>1.290121057/'US$'!B233</f>
        <v>0.5785296219730941</v>
      </c>
      <c r="T45" s="45">
        <f>8.653927172/'US$'!B233</f>
        <v>3.8806848304932733</v>
      </c>
      <c r="U45" s="45">
        <f>65.798975124/'US$'!B233</f>
        <v>29.506266871748878</v>
      </c>
      <c r="V45" s="45">
        <f>29.697806014/'US$'!B233</f>
        <v>13.3174018</v>
      </c>
      <c r="W45" s="45">
        <f>4.333519966/'US$'!B233</f>
        <v>1.9432824959641255</v>
      </c>
      <c r="X45" s="45">
        <f>3.415237164/'US$'!B233</f>
        <v>1.5314964860986549</v>
      </c>
      <c r="Y45" s="45">
        <f>304.324870324/'US$'!B233</f>
        <v>136.46855171479822</v>
      </c>
      <c r="Z45" s="45">
        <f>142.878012124/'US$'!B233</f>
        <v>64.07085745470853</v>
      </c>
      <c r="AA45" s="45">
        <f>0/'US$'!B233</f>
        <v>0</v>
      </c>
      <c r="AB45" s="45">
        <f>7.544292231/'US$'!B233</f>
        <v>3.383090686547085</v>
      </c>
      <c r="AC45" s="45">
        <f>0.878235176/'US$'!B233</f>
        <v>0.3938274331838565</v>
      </c>
      <c r="AD45" s="45">
        <f>6.380499446/'US$'!B233</f>
        <v>2.8612105139013453</v>
      </c>
      <c r="AE45" s="45">
        <f>12.57197832/'US$'!B233</f>
        <v>5.637658439461883</v>
      </c>
      <c r="AF45" s="45">
        <f>3.572249936/'US$'!B233</f>
        <v>1.601905800896861</v>
      </c>
    </row>
    <row r="46" spans="1:32" ht="12.75">
      <c r="A46" s="28">
        <v>41548</v>
      </c>
      <c r="B46" s="29">
        <f>(485.453019756+0.54603489+0.05607954)/'US$'!B234</f>
        <v>220.67335611822392</v>
      </c>
      <c r="C46" s="45">
        <f>6.228124594/'US$'!B234</f>
        <v>2.827623987106147</v>
      </c>
      <c r="D46" s="45">
        <f>3.39033475/'US$'!B234</f>
        <v>1.5392421456460548</v>
      </c>
      <c r="E46" s="45">
        <f>0.356783848/'US$'!B234</f>
        <v>0.16198304185962045</v>
      </c>
      <c r="F46" s="45">
        <f>0.146084648/'US$'!B234</f>
        <v>0.0663237301371107</v>
      </c>
      <c r="G46" s="45">
        <f>1.203316497/'US$'!B234</f>
        <v>0.5463163974393899</v>
      </c>
      <c r="H46" s="45">
        <f>66.790824837/'US$'!B234</f>
        <v>30.323628819122856</v>
      </c>
      <c r="I46" s="45">
        <f>4.118424858/'US$'!B234</f>
        <v>1.8698015336420595</v>
      </c>
      <c r="J46" s="45">
        <f>0.758113455/'US$'!B234</f>
        <v>0.3441902546989921</v>
      </c>
      <c r="K46" s="29">
        <f>0.000989883/'US$'!B234</f>
        <v>0.00044941569054753473</v>
      </c>
      <c r="L46" s="45">
        <f>1.011476278/'US$'!B234</f>
        <v>0.4592192309089258</v>
      </c>
      <c r="M46" s="45">
        <f>0/'US$'!B234</f>
        <v>0</v>
      </c>
      <c r="N46" s="45">
        <f>5.359002767/'US$'!B234</f>
        <v>2.4330349437028964</v>
      </c>
      <c r="O46" s="45">
        <f>294.221876053/'US$'!B234</f>
        <v>133.57934988331974</v>
      </c>
      <c r="P46" s="45">
        <f>0/'US$'!B234</f>
        <v>0</v>
      </c>
      <c r="Q46" s="45">
        <f>0.291728907/'US$'!B234</f>
        <v>0.1324475197493871</v>
      </c>
      <c r="R46" s="45">
        <f>1.292306877/'US$'!B234</f>
        <v>0.5867188218469082</v>
      </c>
      <c r="S46" s="45">
        <f>1.230818842/'US$'!B234</f>
        <v>0.5588027068010533</v>
      </c>
      <c r="T46" s="45">
        <f>9.124437116/'US$'!B234</f>
        <v>4.1425756451466444</v>
      </c>
      <c r="U46" s="45">
        <f>63.316625012/'US$'!B234</f>
        <v>28.746311183147192</v>
      </c>
      <c r="V46" s="45">
        <f>21.67432645/'US$'!B234</f>
        <v>9.840337078906746</v>
      </c>
      <c r="W46" s="45">
        <f>4.468074069/'US$'!B234</f>
        <v>2.0285453868155816</v>
      </c>
      <c r="X46" s="45">
        <f>2.478243161/'US$'!B234</f>
        <v>1.1251444479251793</v>
      </c>
      <c r="Y46" s="45">
        <f>287.577967582/'US$'!B234</f>
        <v>130.5629563161718</v>
      </c>
      <c r="Z46" s="45">
        <f>138.302029899/'US$'!B234</f>
        <v>62.790352265050394</v>
      </c>
      <c r="AA46" s="45">
        <f>0/'US$'!B234</f>
        <v>0</v>
      </c>
      <c r="AB46" s="45">
        <f>6.914453813/'US$'!B234</f>
        <v>3.139223559883774</v>
      </c>
      <c r="AC46" s="45">
        <f>2.378488332/'US$'!B234</f>
        <v>1.0798548678834106</v>
      </c>
      <c r="AD46" s="45">
        <f>6.114658059/'US$'!B234</f>
        <v>2.7761091705257424</v>
      </c>
      <c r="AE46" s="45">
        <f>8.93057737/'US$'!B234</f>
        <v>4.05456159538727</v>
      </c>
      <c r="AF46" s="45">
        <f>4.645758944/'US$'!B234</f>
        <v>2.109215901207664</v>
      </c>
    </row>
    <row r="47" spans="1:32" ht="12.75">
      <c r="A47" s="28">
        <v>41579</v>
      </c>
      <c r="B47" s="29">
        <f>(478.024916378+0.550051435+0.034874284)/'US$'!B235</f>
        <v>205.86254982880985</v>
      </c>
      <c r="C47" s="45">
        <f>6.41918167/'US$'!B235</f>
        <v>2.761057107832595</v>
      </c>
      <c r="D47" s="45">
        <f>3.218420514/'US$'!B235</f>
        <v>1.3843264286635983</v>
      </c>
      <c r="E47" s="45">
        <f>0.369531887/'US$'!B235</f>
        <v>0.15894528237773667</v>
      </c>
      <c r="F47" s="45">
        <f>0.147120209/'US$'!B235</f>
        <v>0.06328023097767646</v>
      </c>
      <c r="G47" s="45">
        <f>1.081122392/'US$'!B235</f>
        <v>0.4650188790915738</v>
      </c>
      <c r="H47" s="45">
        <f>67.735824279/'US$'!B235</f>
        <v>29.13494097767646</v>
      </c>
      <c r="I47" s="45">
        <f>4.50097138/'US$'!B235</f>
        <v>1.9359849369865372</v>
      </c>
      <c r="J47" s="45">
        <f>0.806639205/'US$'!B235</f>
        <v>0.3469565164093079</v>
      </c>
      <c r="K47" s="29">
        <f>0.000989883/'US$'!B235</f>
        <v>0.0004257744419114801</v>
      </c>
      <c r="L47" s="45">
        <f>1.060287688/'US$'!B235</f>
        <v>0.45605733063787696</v>
      </c>
      <c r="M47" s="45">
        <f>0/'US$'!B235</f>
        <v>0</v>
      </c>
      <c r="N47" s="45">
        <f>5.402044648/'US$'!B235</f>
        <v>2.3235600017205043</v>
      </c>
      <c r="O47" s="45">
        <f>286.007231428/'US$'!B235</f>
        <v>123.01915412619898</v>
      </c>
      <c r="P47" s="45">
        <f>0/'US$'!B235</f>
        <v>0</v>
      </c>
      <c r="Q47" s="45">
        <f>0.306877357/'US$'!B235</f>
        <v>0.13199593831992776</v>
      </c>
      <c r="R47" s="45">
        <f>1.357170905/'US$'!B235</f>
        <v>0.5837545292270635</v>
      </c>
      <c r="S47" s="45">
        <f>1.221111822/'US$'!B235</f>
        <v>0.5252319764290937</v>
      </c>
      <c r="T47" s="45">
        <f>14.779395892/'US$'!B235</f>
        <v>6.3570028353907695</v>
      </c>
      <c r="U47" s="45">
        <f>56.0820513/'US$'!B235</f>
        <v>24.122349907522906</v>
      </c>
      <c r="V47" s="45">
        <f>28.992988772/'US$'!B235</f>
        <v>12.470639069207278</v>
      </c>
      <c r="W47" s="45">
        <f>3.855836523/'US$'!B235</f>
        <v>1.6584956441137253</v>
      </c>
      <c r="X47" s="45">
        <f>3.325042871/'US$'!B235</f>
        <v>1.4301874794614822</v>
      </c>
      <c r="Y47" s="45">
        <f>357.960968883/'US$'!B235</f>
        <v>153.9683293401867</v>
      </c>
      <c r="Z47" s="45">
        <f>158.346178515/'US$'!B235</f>
        <v>68.10881264355456</v>
      </c>
      <c r="AA47" s="45">
        <f>0/'US$'!B235</f>
        <v>0</v>
      </c>
      <c r="AB47" s="45">
        <f>6.369302232/'US$'!B235</f>
        <v>2.7396026633403587</v>
      </c>
      <c r="AC47" s="45">
        <f>2.811614581/'US$'!B235</f>
        <v>1.209348608972429</v>
      </c>
      <c r="AD47" s="45">
        <f>5.85249942/'US$'!B235</f>
        <v>2.5173123231106715</v>
      </c>
      <c r="AE47" s="45">
        <f>5.845136751/'US$'!B235</f>
        <v>2.514145447546131</v>
      </c>
      <c r="AF47" s="45">
        <f>2.961115064/'US$'!B235</f>
        <v>1.2736526577487204</v>
      </c>
    </row>
    <row r="48" spans="1:32" ht="12.75">
      <c r="A48" s="28">
        <v>41609</v>
      </c>
      <c r="B48" s="29">
        <f>(466.970712427+0.720346759+0.053921908)/'US$'!B236</f>
        <v>199.66916293605397</v>
      </c>
      <c r="C48" s="45">
        <f>8.799115973/'US$'!B236</f>
        <v>3.756132490822163</v>
      </c>
      <c r="D48" s="45">
        <f>3.219598186/'US$'!B236</f>
        <v>1.3743695833689062</v>
      </c>
      <c r="E48" s="45">
        <f>0.657717544/'US$'!B236</f>
        <v>0.2807639136002732</v>
      </c>
      <c r="F48" s="45">
        <f>0.148268306/'US$'!B236</f>
        <v>0.06329219926577306</v>
      </c>
      <c r="G48" s="45">
        <f>0.415537648/'US$'!B236</f>
        <v>0.17738309912063518</v>
      </c>
      <c r="H48" s="45">
        <f>53.730356698/'US$'!B236</f>
        <v>22.936206223000084</v>
      </c>
      <c r="I48" s="45">
        <f>20.92424687/'US$'!B236</f>
        <v>8.93206132929224</v>
      </c>
      <c r="J48" s="45">
        <f>0.793859046/'US$'!B236</f>
        <v>0.3388794698198583</v>
      </c>
      <c r="K48" s="29">
        <f>0.000989883/'US$'!B236</f>
        <v>0.00042255741483821396</v>
      </c>
      <c r="L48" s="45">
        <f>1.174711874/'US$'!B236</f>
        <v>0.5014564475369248</v>
      </c>
      <c r="M48" s="45">
        <f>0/'US$'!B236</f>
        <v>0</v>
      </c>
      <c r="N48" s="45">
        <f>5.116079153/'US$'!B236</f>
        <v>2.183932021258431</v>
      </c>
      <c r="O48" s="45">
        <f>286.018453759/'US$'!B236</f>
        <v>122.09444794629898</v>
      </c>
      <c r="P48" s="45">
        <f>0.00000191/'US$'!B236</f>
        <v>8.153333902501494E-07</v>
      </c>
      <c r="Q48" s="45">
        <f>0.296782659/'US$'!B236</f>
        <v>0.12668943012037906</v>
      </c>
      <c r="R48" s="45">
        <f>0.897745495/'US$'!B236</f>
        <v>0.3832261141466746</v>
      </c>
      <c r="S48" s="45">
        <f>0.975065181/'US$'!B236</f>
        <v>0.41623204174848455</v>
      </c>
      <c r="T48" s="45">
        <f>13.47631832/'US$'!B236</f>
        <v>5.75271848373602</v>
      </c>
      <c r="U48" s="45">
        <f>61.240129045/'US$'!B236</f>
        <v>26.141948708699736</v>
      </c>
      <c r="V48" s="45">
        <f>26.608691075/'US$'!B236</f>
        <v>11.358614819004524</v>
      </c>
      <c r="W48" s="45">
        <f>13.099661379/'US$'!B236</f>
        <v>5.591932629983779</v>
      </c>
      <c r="X48" s="45">
        <f>8.994755469/'US$'!B236</f>
        <v>3.8396463199009645</v>
      </c>
      <c r="Y48" s="45">
        <f>356.48797568/'US$'!B236</f>
        <v>152.1762040809357</v>
      </c>
      <c r="Z48" s="45">
        <f>157.725249993/'US$'!B236</f>
        <v>67.3291428297618</v>
      </c>
      <c r="AA48" s="45">
        <f>0/'US$'!B236</f>
        <v>0</v>
      </c>
      <c r="AB48" s="45">
        <f>7.584011259/'US$'!B236</f>
        <v>3.237433304448049</v>
      </c>
      <c r="AC48" s="45">
        <f>2.639154712/'US$'!B236</f>
        <v>1.126592124989328</v>
      </c>
      <c r="AD48" s="45">
        <f>5.513065588/'US$'!B236</f>
        <v>2.3533960505421327</v>
      </c>
      <c r="AE48" s="45">
        <f>10.650684692/'US$'!B236</f>
        <v>4.546522962520277</v>
      </c>
      <c r="AF48" s="45">
        <f>3.276417161/'US$'!B236</f>
        <v>1.3986242469905232</v>
      </c>
    </row>
    <row r="49" spans="1:32" ht="12.75">
      <c r="A49" s="28">
        <v>41640</v>
      </c>
      <c r="B49" s="29">
        <f>(428.471769845+0.649326392+0.054389855)/'US$'!B237</f>
        <v>176.88475707538225</v>
      </c>
      <c r="C49" s="45">
        <f>5.785127181/'US$'!B237</f>
        <v>2.38434125252442</v>
      </c>
      <c r="D49" s="45">
        <f>2.880269108/'US$'!B237</f>
        <v>1.187103452994271</v>
      </c>
      <c r="E49" s="45">
        <f>0.530806611/'US$'!B237</f>
        <v>0.21877204426493016</v>
      </c>
      <c r="F49" s="45">
        <f>0.185072519/'US$'!B237</f>
        <v>0.0762776734121914</v>
      </c>
      <c r="G49" s="45">
        <f>1.306600722/'US$'!B237</f>
        <v>0.5385157325969584</v>
      </c>
      <c r="H49" s="45">
        <f>53.298198572/'US$'!B237</f>
        <v>21.966862536372254</v>
      </c>
      <c r="I49" s="45">
        <f>21.582787185/'US$'!B237</f>
        <v>8.895349785681903</v>
      </c>
      <c r="J49" s="45">
        <f>0.793484627/'US$'!B237</f>
        <v>0.32703483781890125</v>
      </c>
      <c r="K49" s="29">
        <f>0.001078024/'US$'!B237</f>
        <v>0.00044430779376004615</v>
      </c>
      <c r="L49" s="45">
        <f>1.416547068/'US$'!B237</f>
        <v>0.5838301397189136</v>
      </c>
      <c r="M49" s="45">
        <f>0/'US$'!B237</f>
        <v>0</v>
      </c>
      <c r="N49" s="45">
        <f>5.024610128/'US$'!B237</f>
        <v>2.070894006511973</v>
      </c>
      <c r="O49" s="45">
        <f>290.211162942/'US$'!B237</f>
        <v>119.61058522936158</v>
      </c>
      <c r="P49" s="45">
        <f>0/'US$'!B237</f>
        <v>0</v>
      </c>
      <c r="Q49" s="45">
        <f>0.228519484/'US$'!B237</f>
        <v>0.09418434818447842</v>
      </c>
      <c r="R49" s="45">
        <f>0.583963043/'US$'!B237</f>
        <v>0.24068047768206735</v>
      </c>
      <c r="S49" s="45">
        <f>0.76747083/'US$'!B237</f>
        <v>0.3163132465070272</v>
      </c>
      <c r="T49" s="45">
        <f>15.530747424/'US$'!B237</f>
        <v>6.4010004632568105</v>
      </c>
      <c r="U49" s="45">
        <f>68.115255909/'US$'!B237</f>
        <v>28.0737154964349</v>
      </c>
      <c r="V49" s="45">
        <f>48.087385132/'US$'!B237</f>
        <v>19.819224799901086</v>
      </c>
      <c r="W49" s="45">
        <f>18.74839801/'US$'!B237</f>
        <v>7.7271557556773685</v>
      </c>
      <c r="X49" s="45">
        <f>7.30275773/'US$'!B237</f>
        <v>3.0098329678935003</v>
      </c>
      <c r="Y49" s="45">
        <f>346.800234128/'US$'!B237</f>
        <v>142.9337815307258</v>
      </c>
      <c r="Z49" s="45">
        <f>243.227946446/'US$'!B237</f>
        <v>100.2464437398508</v>
      </c>
      <c r="AA49" s="45">
        <f>0/'US$'!B237</f>
        <v>0</v>
      </c>
      <c r="AB49" s="45">
        <f>7.358873397/'US$'!B237</f>
        <v>3.032961050570828</v>
      </c>
      <c r="AC49" s="45">
        <f>3.293765378/'US$'!B237</f>
        <v>1.3575260182170383</v>
      </c>
      <c r="AD49" s="45">
        <f>6.113707089/'US$'!B237</f>
        <v>2.519765523224663</v>
      </c>
      <c r="AE49" s="45">
        <f>7.036525476/'US$'!B237</f>
        <v>2.900105294481309</v>
      </c>
      <c r="AF49" s="45">
        <f>4.144929392/'US$'!B237</f>
        <v>1.708333426204509</v>
      </c>
    </row>
    <row r="50" spans="1:32" ht="12.75">
      <c r="A50" s="28">
        <v>41671</v>
      </c>
      <c r="B50" s="29">
        <f>(428.761003792+0.93690854+0.069258537)/'US$'!B238</f>
        <v>184.1806680676266</v>
      </c>
      <c r="C50" s="45">
        <f>5.678701162/'US$'!B238</f>
        <v>2.433659536298963</v>
      </c>
      <c r="D50" s="45">
        <f>3.21935991/'US$'!B238</f>
        <v>1.3796862561069683</v>
      </c>
      <c r="E50" s="45">
        <f>0.511509205/'US$'!B238</f>
        <v>0.21921196751521382</v>
      </c>
      <c r="F50" s="45">
        <f>0.220246958/'US$'!B238</f>
        <v>0.09438885660409702</v>
      </c>
      <c r="G50" s="45">
        <f>1.633157969/'US$'!B238</f>
        <v>0.6999048465758121</v>
      </c>
      <c r="H50" s="45">
        <f>51.683459292/'US$'!B238</f>
        <v>22.149421141681664</v>
      </c>
      <c r="I50" s="45">
        <f>21.719405337/'US$'!B238</f>
        <v>9.308050628696323</v>
      </c>
      <c r="J50" s="45">
        <f>0.865549369/'US$'!B238</f>
        <v>0.37093913131053396</v>
      </c>
      <c r="K50" s="29">
        <f>0.001078024/'US$'!B238</f>
        <v>0.00046199708579754855</v>
      </c>
      <c r="L50" s="45">
        <f>1.937258017/'US$'!B238</f>
        <v>0.8302297150081426</v>
      </c>
      <c r="M50" s="45">
        <f>(0)/'US$'!B238</f>
        <v>0</v>
      </c>
      <c r="N50" s="45">
        <f>4.700862021/'US$'!B238</f>
        <v>2.014597591925945</v>
      </c>
      <c r="O50" s="45">
        <f>306.218717984/'US$'!B238</f>
        <v>131.23284391188824</v>
      </c>
      <c r="P50" s="45">
        <f>(0)/'US$'!B238</f>
        <v>0</v>
      </c>
      <c r="Q50" s="45">
        <f>0.109435498/'US$'!B238</f>
        <v>0.04689958772606497</v>
      </c>
      <c r="R50" s="45">
        <f>0.54211382/'US$'!B238</f>
        <v>0.2323278563469615</v>
      </c>
      <c r="S50" s="45">
        <f>0.678529567/'US$'!B238</f>
        <v>0.29079007756921227</v>
      </c>
      <c r="T50" s="45">
        <f>13.309064699/'US$'!B238</f>
        <v>5.703721907516928</v>
      </c>
      <c r="U50" s="45">
        <f>52.521471577/'US$'!B238</f>
        <v>22.50855900274278</v>
      </c>
      <c r="V50" s="45">
        <f>25.521714721/'US$'!B238</f>
        <v>10.93756523570755</v>
      </c>
      <c r="W50" s="45">
        <f>25.18961716/'US$'!B238</f>
        <v>10.795241775949258</v>
      </c>
      <c r="X50" s="45">
        <f>9.553706888/'US$'!B238</f>
        <v>4.094328828319191</v>
      </c>
      <c r="Y50" s="45">
        <f>361.831233506/'US$'!B238</f>
        <v>155.0660981854804</v>
      </c>
      <c r="Z50" s="45">
        <f>213.04625797/'US$'!B238</f>
        <v>91.30293047484356</v>
      </c>
      <c r="AA50" s="45">
        <f>(0)/'US$'!B238</f>
        <v>0</v>
      </c>
      <c r="AB50" s="45">
        <f>8.032859443/'US$'!B238</f>
        <v>3.442555688266049</v>
      </c>
      <c r="AC50" s="45">
        <f>4.240179616/'US$'!B238</f>
        <v>1.817167916345247</v>
      </c>
      <c r="AD50" s="45">
        <f>5.843675674/'US$'!B238</f>
        <v>2.504360878546327</v>
      </c>
      <c r="AE50" s="45">
        <f>10.041265333/'US$'!B238</f>
        <v>4.303276477672067</v>
      </c>
      <c r="AF50" s="45">
        <f>4.118724053/'US$'!B238</f>
        <v>1.7651170193708752</v>
      </c>
    </row>
    <row r="51" spans="1:32" ht="12.75">
      <c r="A51" s="28">
        <v>41699</v>
      </c>
      <c r="B51" s="29">
        <f>(460.84818636+1.002323852+0.067490495)/'US$'!B239</f>
        <v>204.1175433968184</v>
      </c>
      <c r="C51" s="45">
        <f>6.517109316/'US$'!B239</f>
        <v>2.8798538736190897</v>
      </c>
      <c r="D51" s="45">
        <f>4.109239376/'US$'!B239</f>
        <v>1.815837108263367</v>
      </c>
      <c r="E51" s="45">
        <f>0.515621466/'US$'!B239</f>
        <v>0.22784863720724705</v>
      </c>
      <c r="F51" s="45">
        <f>0.221921038/'US$'!B239</f>
        <v>0.0980649748121962</v>
      </c>
      <c r="G51" s="45">
        <f>1.420501092/'US$'!B239</f>
        <v>0.6277070667255855</v>
      </c>
      <c r="H51" s="45">
        <f>49.389279224/'US$'!B239</f>
        <v>21.82469254264251</v>
      </c>
      <c r="I51" s="45">
        <f>22.747985358/'US$'!B239</f>
        <v>10.052136702607159</v>
      </c>
      <c r="J51" s="45">
        <f>0.852822451/'US$'!B239</f>
        <v>0.37685481705700397</v>
      </c>
      <c r="K51" s="29">
        <f>0/'US$'!B239</f>
        <v>0</v>
      </c>
      <c r="L51" s="45">
        <f>1.521775164/'US$'!B239</f>
        <v>0.6724591975254087</v>
      </c>
      <c r="M51" s="45">
        <f>0/'US$'!B239</f>
        <v>0</v>
      </c>
      <c r="N51" s="45">
        <f>4.996762698/'US$'!B239</f>
        <v>2.208025938135219</v>
      </c>
      <c r="O51" s="45">
        <f>319.79498053/'US$'!B239</f>
        <v>141.31461799823242</v>
      </c>
      <c r="P51" s="45">
        <f>0.037138284/'US$'!B239</f>
        <v>0.016411084401237296</v>
      </c>
      <c r="Q51" s="45">
        <f>0.122532763/'US$'!B239</f>
        <v>0.054146161290322584</v>
      </c>
      <c r="R51" s="45">
        <f>0.848636327/'US$'!B239</f>
        <v>0.37500500530269554</v>
      </c>
      <c r="S51" s="45">
        <f>0.977579365/'US$'!B239</f>
        <v>0.43198381131241714</v>
      </c>
      <c r="T51" s="45">
        <f>18.260588207/'US$'!B239</f>
        <v>8.06919496553248</v>
      </c>
      <c r="U51" s="45">
        <f>50.841497885/'US$'!B239</f>
        <v>22.46641532699956</v>
      </c>
      <c r="V51" s="45">
        <f>27.84328324/'US$'!B239</f>
        <v>12.30370448077773</v>
      </c>
      <c r="W51" s="45">
        <f>25.311998189/'US$'!B239</f>
        <v>11.185151652231552</v>
      </c>
      <c r="X51" s="45">
        <f>3.281441207/'US$'!B239</f>
        <v>1.4500403035793195</v>
      </c>
      <c r="Y51" s="45">
        <f>390.2215663/'US$'!B239</f>
        <v>172.4355131683606</v>
      </c>
      <c r="Z51" s="45">
        <f>226.854748097/'US$'!B239</f>
        <v>100.24513835483872</v>
      </c>
      <c r="AA51" s="45">
        <f>0/'US$'!B239</f>
        <v>0</v>
      </c>
      <c r="AB51" s="45">
        <f>8.328417523/'US$'!B239</f>
        <v>3.6802552023862134</v>
      </c>
      <c r="AC51" s="45">
        <f>4.007852811/'US$'!B239</f>
        <v>1.7710352677861247</v>
      </c>
      <c r="AD51" s="45">
        <f>5.681728496/'US$'!B239</f>
        <v>2.5107063614670793</v>
      </c>
      <c r="AE51" s="45">
        <f>12.671544028/'US$'!B239</f>
        <v>5.599444996906761</v>
      </c>
      <c r="AF51" s="45">
        <f>4.512154818/'US$'!B239</f>
        <v>1.9938819346000884</v>
      </c>
    </row>
    <row r="52" spans="1:32" ht="12.75">
      <c r="A52" s="28">
        <v>41730</v>
      </c>
      <c r="B52" s="29">
        <f>(466.816095466+1.068321626+0.115467702)/'US$'!B240</f>
        <v>209.3022740581395</v>
      </c>
      <c r="C52" s="45">
        <f>7.338541625/'US$'!B240</f>
        <v>3.281995360017889</v>
      </c>
      <c r="D52" s="45">
        <f>3.241361677/'US$'!B240</f>
        <v>1.4496250791592127</v>
      </c>
      <c r="E52" s="45">
        <f>0.575213499/'US$'!B240</f>
        <v>0.2572511176207513</v>
      </c>
      <c r="F52" s="45">
        <f>0.243038405/'US$'!B240</f>
        <v>0.10869338327370304</v>
      </c>
      <c r="G52" s="45">
        <f>1.474862635/'US$'!B240</f>
        <v>0.6595986739713774</v>
      </c>
      <c r="H52" s="45">
        <f>50.279087551/'US$'!B240</f>
        <v>22.486175112254024</v>
      </c>
      <c r="I52" s="45">
        <f>21.80807492/'US$'!B240</f>
        <v>9.753164096601072</v>
      </c>
      <c r="J52" s="45">
        <f>1.340846586/'US$'!B240</f>
        <v>0.5996630527728085</v>
      </c>
      <c r="K52" s="29">
        <f>0/'US$'!B240</f>
        <v>0</v>
      </c>
      <c r="L52" s="45">
        <f>1.575183715/'US$'!B240</f>
        <v>0.7044649888193202</v>
      </c>
      <c r="M52" s="45">
        <f>0/'US$'!B240</f>
        <v>0</v>
      </c>
      <c r="N52" s="45">
        <f>5.359775894/'US$'!B240</f>
        <v>2.3970375196779963</v>
      </c>
      <c r="O52" s="45">
        <f>330.129461739/'US$'!B240</f>
        <v>147.64287197629696</v>
      </c>
      <c r="P52" s="45">
        <f>0.090923352/'US$'!B240</f>
        <v>0.04066339534883721</v>
      </c>
      <c r="Q52" s="45">
        <f>0.099473824/'US$'!B240</f>
        <v>0.044487398926654736</v>
      </c>
      <c r="R52" s="45">
        <f>0.740856769/'US$'!B240</f>
        <v>0.33133129203935596</v>
      </c>
      <c r="S52" s="45">
        <f>0.911419978/'US$'!B240</f>
        <v>0.407611796958855</v>
      </c>
      <c r="T52" s="45">
        <f>25.920603591/'US$'!B240</f>
        <v>11.592398743738817</v>
      </c>
      <c r="U52" s="45">
        <f>53.505568905/'US$'!B240</f>
        <v>23.929145306350623</v>
      </c>
      <c r="V52" s="45">
        <f>20.994803106/'US$'!B240</f>
        <v>9.389446827370303</v>
      </c>
      <c r="W52" s="45">
        <f>25.895176342/'US$'!B240</f>
        <v>11.581026986583183</v>
      </c>
      <c r="X52" s="45">
        <f>8.453333746/'US$'!B240</f>
        <v>3.7805607093023252</v>
      </c>
      <c r="Y52" s="45">
        <f>325.975867795/'US$'!B240</f>
        <v>145.7852718224508</v>
      </c>
      <c r="Z52" s="45">
        <f>245.079948701/'US$'!B240</f>
        <v>109.60641712924865</v>
      </c>
      <c r="AA52" s="45">
        <f>0/'US$'!B240</f>
        <v>0</v>
      </c>
      <c r="AB52" s="45">
        <f>8.27988275/'US$'!B240</f>
        <v>3.7029887075134167</v>
      </c>
      <c r="AC52" s="45">
        <f>4.455261437/'US$'!B240</f>
        <v>1.9925140594812163</v>
      </c>
      <c r="AD52" s="45">
        <f>6.189109805/'US$'!B240</f>
        <v>2.7679381954382825</v>
      </c>
      <c r="AE52" s="45">
        <f>9.3097821/'US$'!B240</f>
        <v>4.1635877012522355</v>
      </c>
      <c r="AF52" s="45">
        <f>3.881150726/'US$'!B240</f>
        <v>1.7357561386404292</v>
      </c>
    </row>
    <row r="53" spans="1:32" ht="12.75">
      <c r="A53" s="28">
        <v>41760</v>
      </c>
      <c r="B53" s="29">
        <f>(483.215081992+0.952850411+0.101864155)/'US$'!B241</f>
        <v>216.2884307985708</v>
      </c>
      <c r="C53" s="45">
        <f>6.80926199/'US$'!B241</f>
        <v>3.041206784278696</v>
      </c>
      <c r="D53" s="45">
        <f>3.734140441/'US$'!B241</f>
        <v>1.667771523447968</v>
      </c>
      <c r="E53" s="45">
        <f>0.581274188/'US$'!B241</f>
        <v>0.25961330415364003</v>
      </c>
      <c r="F53" s="45">
        <f>0.245124406/'US$'!B241</f>
        <v>0.109479413130862</v>
      </c>
      <c r="G53" s="45">
        <f>1.502848991/'US$'!B241</f>
        <v>0.6712143774006253</v>
      </c>
      <c r="H53" s="45">
        <f>48.372894364/'US$'!B241</f>
        <v>21.60468707637338</v>
      </c>
      <c r="I53" s="45">
        <f>24.378878977/'US$'!B241</f>
        <v>10.888288958016972</v>
      </c>
      <c r="J53" s="45">
        <f>1.348643995/'US$'!B241</f>
        <v>0.6023421147833855</v>
      </c>
      <c r="K53" s="29">
        <f>0.001078024/'US$'!B241</f>
        <v>0.0004814756587762394</v>
      </c>
      <c r="L53" s="45">
        <f>1.662590336/'US$'!B241</f>
        <v>0.7425593282715499</v>
      </c>
      <c r="M53" s="45">
        <f>0/'US$'!B241</f>
        <v>0</v>
      </c>
      <c r="N53" s="45">
        <f>5.442250992/'US$'!B241</f>
        <v>2.4306614524341223</v>
      </c>
      <c r="O53" s="45">
        <f>335.508856226/'US$'!B241</f>
        <v>149.84763565252345</v>
      </c>
      <c r="P53" s="45">
        <f>0/'US$'!B241</f>
        <v>0</v>
      </c>
      <c r="Q53" s="45">
        <f>0.65460395/'US$'!B241</f>
        <v>0.29236442608307284</v>
      </c>
      <c r="R53" s="45">
        <f>0.802412687/'US$'!B241</f>
        <v>0.3583799405984815</v>
      </c>
      <c r="S53" s="45">
        <f>0.984655357/'US$'!B241</f>
        <v>0.43977461232693166</v>
      </c>
      <c r="T53" s="45">
        <f>28.514236187/'US$'!B241</f>
        <v>12.735255108083967</v>
      </c>
      <c r="U53" s="45">
        <f>43.065789647/'US$'!B241</f>
        <v>19.234385728896832</v>
      </c>
      <c r="V53" s="45">
        <f>17.121275518/'US$'!B241</f>
        <v>7.646840338543994</v>
      </c>
      <c r="W53" s="45">
        <f>25.783587472/'US$'!B241</f>
        <v>11.51567104600268</v>
      </c>
      <c r="X53" s="45">
        <f>3.217290551/'US$'!B241</f>
        <v>1.4369319120142923</v>
      </c>
      <c r="Y53" s="45">
        <f>395.401815033/'US$'!B241</f>
        <v>176.59750559758822</v>
      </c>
      <c r="Z53" s="45">
        <f>253.030542944/'US$'!B241</f>
        <v>113.01051493702546</v>
      </c>
      <c r="AA53" s="45">
        <f>0/'US$'!B241</f>
        <v>0</v>
      </c>
      <c r="AB53" s="45">
        <f>10.498474628/'US$'!B241</f>
        <v>4.688912294774453</v>
      </c>
      <c r="AC53" s="45">
        <f>5.831008071/'US$'!B241</f>
        <v>2.604291233139795</v>
      </c>
      <c r="AD53" s="45">
        <f>7.0116658/'US$'!B241</f>
        <v>3.13160598481465</v>
      </c>
      <c r="AE53" s="45">
        <f>10.811603816/'US$'!B241</f>
        <v>4.82876454488611</v>
      </c>
      <c r="AF53" s="45">
        <f>4.532223232/'US$'!B241</f>
        <v>2.024217611433676</v>
      </c>
    </row>
    <row r="54" spans="1:32" ht="12.75">
      <c r="A54" s="28">
        <v>41791</v>
      </c>
      <c r="B54" s="29">
        <f>(501.332723209+1.214267453+0.071048914)/'US$'!B242</f>
        <v>228.20342319001134</v>
      </c>
      <c r="C54" s="45">
        <f>7.153503799/'US$'!B242</f>
        <v>3.2479018383654936</v>
      </c>
      <c r="D54" s="45">
        <f>3.167000577/'US$'!B242</f>
        <v>1.4379117262202044</v>
      </c>
      <c r="E54" s="45">
        <f>0.600186334/'US$'!B242</f>
        <v>0.27250230828603855</v>
      </c>
      <c r="F54" s="45">
        <f>0.24712807/'US$'!B242</f>
        <v>0.11220343700340522</v>
      </c>
      <c r="G54" s="45">
        <f>1.399868756/'US$'!B242</f>
        <v>0.6355817280363224</v>
      </c>
      <c r="H54" s="45">
        <f>47.565164234/'US$'!B242</f>
        <v>21.595988301475597</v>
      </c>
      <c r="I54" s="45">
        <f>26.46597775/'US$'!B242</f>
        <v>12.016334960272417</v>
      </c>
      <c r="J54" s="45">
        <f>1.769562365/'US$'!B242</f>
        <v>0.8034335368898978</v>
      </c>
      <c r="K54" s="29">
        <f>0/'US$'!B242</f>
        <v>0</v>
      </c>
      <c r="L54" s="45">
        <f>1.6793629/'US$'!B242</f>
        <v>0.7624803178206584</v>
      </c>
      <c r="M54" s="45">
        <f>0/'US$'!B242</f>
        <v>0</v>
      </c>
      <c r="N54" s="45">
        <f>5.216836355/'US$'!B242</f>
        <v>2.368597664018161</v>
      </c>
      <c r="O54" s="45">
        <f>346.884587372/'US$'!B242</f>
        <v>157.49583989648127</v>
      </c>
      <c r="P54" s="45">
        <f>(0)/'US$'!B242</f>
        <v>0</v>
      </c>
      <c r="Q54" s="45">
        <f>0.132878232/'US$'!B242</f>
        <v>0.060330638819523275</v>
      </c>
      <c r="R54" s="45">
        <f>0.885610634/'US$'!B242</f>
        <v>0.4020933639046538</v>
      </c>
      <c r="S54" s="45">
        <f>1.051521454/'US$'!B242</f>
        <v>0.4774217725312145</v>
      </c>
      <c r="T54" s="45">
        <f>28.06085629/'US$'!B242</f>
        <v>12.740456885357547</v>
      </c>
      <c r="U54" s="45">
        <f>43.60064634/'US$'!B242</f>
        <v>19.795980177071506</v>
      </c>
      <c r="V54" s="45">
        <f>17.648696745/'US$'!B242</f>
        <v>8.013029169125993</v>
      </c>
      <c r="W54" s="45">
        <f>27.314831839/'US$'!B242</f>
        <v>12.401739767990918</v>
      </c>
      <c r="X54" s="45">
        <f>5.855676047/'US$'!B242</f>
        <v>2.658649737570942</v>
      </c>
      <c r="Y54" s="45">
        <f>361.967025878/'US$'!B242</f>
        <v>164.34371208989785</v>
      </c>
      <c r="Z54" s="45">
        <f>229.046713049/'US$'!B242</f>
        <v>103.99396733212258</v>
      </c>
      <c r="AA54" s="45">
        <f>0/'US$'!B242</f>
        <v>0</v>
      </c>
      <c r="AB54" s="45">
        <f>9.34539579/'US$'!B242</f>
        <v>4.243085489216798</v>
      </c>
      <c r="AC54" s="45">
        <f>4.313256/'US$'!B242</f>
        <v>1.9583455164585697</v>
      </c>
      <c r="AD54" s="45">
        <f>6.508913339/'US$'!B242</f>
        <v>2.9552387464245173</v>
      </c>
      <c r="AE54" s="45">
        <f>12.122982127/'US$'!B242</f>
        <v>5.5041916581157775</v>
      </c>
      <c r="AF54" s="45">
        <f>4.800692715/'US$'!B242</f>
        <v>2.179656170261067</v>
      </c>
    </row>
    <row r="55" spans="1:32" ht="12.75">
      <c r="A55" s="28">
        <v>41821</v>
      </c>
      <c r="B55" s="29">
        <f>(517.636338215+1.148772701+0.07138126)/'US$'!B243</f>
        <v>228.83324167592838</v>
      </c>
      <c r="C55" s="45">
        <f>6.316701087/'US$'!B243</f>
        <v>2.7858785776660495</v>
      </c>
      <c r="D55" s="45">
        <f>2.730027766/'US$'!B243</f>
        <v>1.2040344738466968</v>
      </c>
      <c r="E55" s="45">
        <f>0.606394256/'US$'!B243</f>
        <v>0.26744035282702655</v>
      </c>
      <c r="F55" s="45">
        <f>0.249452128/'US$'!B243</f>
        <v>0.11001681573608539</v>
      </c>
      <c r="G55" s="45">
        <f>0.983199508/'US$'!B243</f>
        <v>0.433624198641616</v>
      </c>
      <c r="H55" s="45">
        <f>51.515629624/'US$'!B243</f>
        <v>22.720133026373823</v>
      </c>
      <c r="I55" s="45">
        <f>20.966873192/'US$'!B243</f>
        <v>9.24709940548646</v>
      </c>
      <c r="J55" s="45">
        <f>1.440662895/'US$'!B243</f>
        <v>0.6353810068801271</v>
      </c>
      <c r="K55" s="29">
        <f>0.000346371/'US$'!B243</f>
        <v>0.00015276131251653878</v>
      </c>
      <c r="L55" s="45">
        <f>1.773692553/'US$'!B243</f>
        <v>0.7822583368616036</v>
      </c>
      <c r="M55" s="45">
        <f>0/'US$'!B243</f>
        <v>0</v>
      </c>
      <c r="N55" s="45">
        <f>5.139684532/'US$'!B243</f>
        <v>2.2667745135397372</v>
      </c>
      <c r="O55" s="45">
        <f>353.200778477/'US$'!B243</f>
        <v>155.77347555658463</v>
      </c>
      <c r="P55" s="45">
        <f>(0)/'US$'!B243</f>
        <v>0</v>
      </c>
      <c r="Q55" s="45">
        <f>0.103754532/'US$'!B243</f>
        <v>0.04575925377083885</v>
      </c>
      <c r="R55" s="45">
        <f>1.074807799/'US$'!B243</f>
        <v>0.47402654979271414</v>
      </c>
      <c r="S55" s="45">
        <f>1.11705929/'US$'!B243</f>
        <v>0.4926608847137691</v>
      </c>
      <c r="T55" s="45">
        <f>34.559878817/'US$'!B243</f>
        <v>15.24207410117315</v>
      </c>
      <c r="U55" s="45">
        <f>48.63798307/'US$'!B243</f>
        <v>21.45099367998589</v>
      </c>
      <c r="V55" s="45">
        <f>14.107812923/'US$'!B243</f>
        <v>6.222022105936315</v>
      </c>
      <c r="W55" s="45">
        <f>20.578447047/'US$'!B243</f>
        <v>9.075790353268061</v>
      </c>
      <c r="X55" s="45">
        <f>6.447205976/'US$'!B243</f>
        <v>2.8434356425862224</v>
      </c>
      <c r="Y55" s="45">
        <f>339.930847727/'US$'!B243</f>
        <v>149.92098779527214</v>
      </c>
      <c r="Z55" s="45">
        <f>216.589021749/'US$'!B243</f>
        <v>95.52307565890449</v>
      </c>
      <c r="AA55" s="45">
        <f>0/'US$'!B243</f>
        <v>0</v>
      </c>
      <c r="AB55" s="45">
        <f>12.265116839/'US$'!B243</f>
        <v>5.409330880744465</v>
      </c>
      <c r="AC55" s="45">
        <f>3.285103426/'US$'!B243</f>
        <v>1.4488415921319575</v>
      </c>
      <c r="AD55" s="45">
        <f>6.08469131/'US$'!B243</f>
        <v>2.6835544279791836</v>
      </c>
      <c r="AE55" s="45">
        <f>9.433492816/'US$'!B243</f>
        <v>4.160489025315339</v>
      </c>
      <c r="AF55" s="45">
        <f>4.169640398/'US$'!B243</f>
        <v>1.8389522792625919</v>
      </c>
    </row>
    <row r="56" spans="1:32" ht="12.75">
      <c r="A56" s="28">
        <v>41852</v>
      </c>
      <c r="B56" s="29">
        <f>(566.478501937+1.2514169+3.281088963)/'US$'!B244</f>
        <v>254.96115726022506</v>
      </c>
      <c r="C56" s="45">
        <f>7.775909717/'US$'!B244</f>
        <v>3.472008267994285</v>
      </c>
      <c r="D56" s="45">
        <f>3.011983447/'US$'!B244</f>
        <v>1.3448756237721022</v>
      </c>
      <c r="E56" s="45">
        <f>0.588538946/'US$'!B244</f>
        <v>0.26278752723700666</v>
      </c>
      <c r="F56" s="45">
        <f>0.263843025/'US$'!B244</f>
        <v>0.11780810189319522</v>
      </c>
      <c r="G56" s="45">
        <f>0.97344678/'US$'!B244</f>
        <v>0.4346520717985355</v>
      </c>
      <c r="H56" s="45">
        <f>53.146499504/'US$'!B244</f>
        <v>23.730353413109484</v>
      </c>
      <c r="I56" s="45">
        <f>23.303982455/'US$'!B244</f>
        <v>10.405421707001251</v>
      </c>
      <c r="J56" s="45">
        <f>1.494275627/'US$'!B244</f>
        <v>0.6672064774959815</v>
      </c>
      <c r="K56" s="29">
        <f>0.000346371/'US$'!B244</f>
        <v>0.00015465752813002324</v>
      </c>
      <c r="L56" s="45">
        <f>4.524457195/'US$'!B244</f>
        <v>2.02020771343097</v>
      </c>
      <c r="M56" s="45">
        <f>0/'US$'!B244</f>
        <v>0</v>
      </c>
      <c r="N56" s="45">
        <f>6.08085297/'US$'!B244</f>
        <v>2.7151513529201643</v>
      </c>
      <c r="O56" s="45">
        <f>366.275554069/'US$'!B244</f>
        <v>163.54507683023755</v>
      </c>
      <c r="P56" s="45">
        <f>0/'US$'!B244</f>
        <v>0</v>
      </c>
      <c r="Q56" s="45">
        <f>0.201758693/'US$'!B244</f>
        <v>0.09008693204143597</v>
      </c>
      <c r="R56" s="45">
        <f>1.575223073/'US$'!B244</f>
        <v>0.7033501844079301</v>
      </c>
      <c r="S56" s="45">
        <f>1.511606366/'US$'!B244</f>
        <v>0.6749447963922129</v>
      </c>
      <c r="T56" s="45">
        <f>57.398111349/'US$'!B244</f>
        <v>25.62873341176996</v>
      </c>
      <c r="U56" s="45">
        <f>48.828125417/'US$'!B244</f>
        <v>21.802163518931955</v>
      </c>
      <c r="V56" s="45">
        <f>34.587603571/'US$'!B244</f>
        <v>15.443652246383285</v>
      </c>
      <c r="W56" s="45">
        <f>29.057890212/'US$'!B244</f>
        <v>12.974589307019112</v>
      </c>
      <c r="X56" s="45">
        <f>4.446207557/'US$'!B244</f>
        <v>1.985268600196464</v>
      </c>
      <c r="Y56" s="45">
        <f>407.67452327/'US$'!B244</f>
        <v>182.03006039917844</v>
      </c>
      <c r="Z56" s="45">
        <f>207.142551239/'US$'!B244</f>
        <v>92.49086945838543</v>
      </c>
      <c r="AA56" s="45">
        <f>0/'US$'!B244</f>
        <v>0</v>
      </c>
      <c r="AB56" s="45">
        <f>9.907252278/'US$'!B244</f>
        <v>4.423670422396857</v>
      </c>
      <c r="AC56" s="45">
        <f>2.899058324/'US$'!B244</f>
        <v>1.2944536185033042</v>
      </c>
      <c r="AD56" s="45">
        <f>7.92190438/'US$'!B244</f>
        <v>3.537196097517414</v>
      </c>
      <c r="AE56" s="45">
        <f>13.070208529/'US$'!B244</f>
        <v>5.8359566569923205</v>
      </c>
      <c r="AF56" s="45">
        <f>6.219248907/'US$'!B244</f>
        <v>2.77694628817646</v>
      </c>
    </row>
    <row r="57" spans="1:32" ht="12.75">
      <c r="A57" s="28">
        <v>41883</v>
      </c>
      <c r="B57" s="29">
        <f>(509.222215764+1.010345312+3.206080533)/'US$'!B245</f>
        <v>209.48128992615258</v>
      </c>
      <c r="C57" s="45">
        <f>5.94842193/'US$'!B245</f>
        <v>2.4269367319461446</v>
      </c>
      <c r="D57" s="45">
        <f>2.876083831/'US$'!B245</f>
        <v>1.1734328155854752</v>
      </c>
      <c r="E57" s="45">
        <f>0.605247986/'US$'!B245</f>
        <v>0.24693920277437778</v>
      </c>
      <c r="F57" s="45">
        <f>0.253863349/'US$'!B245</f>
        <v>0.1035754177886577</v>
      </c>
      <c r="G57" s="45">
        <f>0.729996237/'US$'!B245</f>
        <v>0.29783608200734396</v>
      </c>
      <c r="H57" s="45">
        <f>61.553908522/'US$'!B245</f>
        <v>25.113793766625868</v>
      </c>
      <c r="I57" s="45">
        <f>23.226400913/'US$'!B245</f>
        <v>9.476295762137902</v>
      </c>
      <c r="J57" s="45">
        <f>1.502644307/'US$'!B245</f>
        <v>0.6130739726642187</v>
      </c>
      <c r="K57" s="29">
        <f>0.000346371/'US$'!B245</f>
        <v>0.00014131823745410036</v>
      </c>
      <c r="L57" s="45">
        <f>4.590022094/'US$'!B245</f>
        <v>1.872714032639739</v>
      </c>
      <c r="M57" s="45">
        <f>0/'US$'!B245</f>
        <v>0</v>
      </c>
      <c r="N57" s="45">
        <f>5.939027297/'US$'!B245</f>
        <v>2.4231037523459813</v>
      </c>
      <c r="O57" s="45">
        <f>368.016600893/'US$'!B245</f>
        <v>150.14957196776825</v>
      </c>
      <c r="P57" s="45">
        <f>0/'US$'!B245</f>
        <v>0</v>
      </c>
      <c r="Q57" s="45">
        <f>0.001018512/'US$'!B245</f>
        <v>0.00041554957160342716</v>
      </c>
      <c r="R57" s="45">
        <f>1.917390054/'US$'!B245</f>
        <v>0.7822888837209302</v>
      </c>
      <c r="S57" s="45">
        <f>1.726289835/'US$'!B245</f>
        <v>0.7043206181150551</v>
      </c>
      <c r="T57" s="45">
        <f>61.609831326/'US$'!B245</f>
        <v>25.136610088127295</v>
      </c>
      <c r="U57" s="45">
        <f>53.627220431/'US$'!B245</f>
        <v>21.879730898000815</v>
      </c>
      <c r="V57" s="45">
        <f>25.704778312/'US$'!B245</f>
        <v>10.487465651570787</v>
      </c>
      <c r="W57" s="45">
        <f>32.645845028/'US$'!B245</f>
        <v>13.319398216238268</v>
      </c>
      <c r="X57" s="45">
        <f>5.430252875/'US$'!B245</f>
        <v>2.2155254487964093</v>
      </c>
      <c r="Y57" s="45">
        <f>482.53876575/'US$'!B245</f>
        <v>196.87424143206854</v>
      </c>
      <c r="Z57" s="45">
        <f>288.68966999/'US$'!B245</f>
        <v>117.78444308037537</v>
      </c>
      <c r="AA57" s="45">
        <f>0/'US$'!B245</f>
        <v>0</v>
      </c>
      <c r="AB57" s="45">
        <f>9.268829729/'US$'!B245</f>
        <v>3.7816522762137903</v>
      </c>
      <c r="AC57" s="45">
        <f>3.595448902/'US$'!B245</f>
        <v>1.4669314165646674</v>
      </c>
      <c r="AD57" s="45">
        <f>7.127897149/'US$'!B245</f>
        <v>2.9081587715218276</v>
      </c>
      <c r="AE57" s="45">
        <f>11.581849497/'US$'!B245</f>
        <v>4.725356791921665</v>
      </c>
      <c r="AF57" s="45">
        <f>5.862823105/'US$'!B245</f>
        <v>2.3920126907384742</v>
      </c>
    </row>
    <row r="58" spans="1:32" ht="12.75">
      <c r="A58" s="28">
        <v>41913</v>
      </c>
      <c r="B58" s="29">
        <f>(507.788118079+3.751257288+3.154873854)/'US$'!B246</f>
        <v>210.57779609729153</v>
      </c>
      <c r="C58" s="45">
        <f>6.040356967/'US$'!B246</f>
        <v>2.4713022530889455</v>
      </c>
      <c r="D58" s="45">
        <f>3.853510673/'US$'!B246</f>
        <v>1.5765938437934703</v>
      </c>
      <c r="E58" s="45">
        <f>0.650995175/'US$'!B246</f>
        <v>0.26634284223876936</v>
      </c>
      <c r="F58" s="45">
        <f>0.256259554/'US$'!B246</f>
        <v>0.1048439383029212</v>
      </c>
      <c r="G58" s="45">
        <f>0.725694627/'US$'!B246</f>
        <v>0.296904765158334</v>
      </c>
      <c r="H58" s="45">
        <f>60.744797909/'US$'!B246</f>
        <v>24.852629862122576</v>
      </c>
      <c r="I58" s="45">
        <f>21.379275394/'US$'!B246</f>
        <v>8.746941900826446</v>
      </c>
      <c r="J58" s="45">
        <f>1.00737224/'US$'!B246</f>
        <v>0.4121480402585713</v>
      </c>
      <c r="K58" s="29">
        <f>0/'US$'!B246</f>
        <v>0</v>
      </c>
      <c r="L58" s="45">
        <f>4.651902414/'US$'!B246</f>
        <v>1.9032413116766225</v>
      </c>
      <c r="M58" s="45">
        <f>0/'US$'!B246</f>
        <v>0</v>
      </c>
      <c r="N58" s="45">
        <f>5.987275096/'US$'!B246</f>
        <v>2.4495847704770477</v>
      </c>
      <c r="O58" s="45">
        <f>381.800744077/'US$'!B246</f>
        <v>156.2068341694624</v>
      </c>
      <c r="P58" s="45">
        <f>0.0089478/'US$'!B246</f>
        <v>0.0036608297193355703</v>
      </c>
      <c r="Q58" s="45">
        <f>0.009263607/'US$'!B246</f>
        <v>0.0037900364127321823</v>
      </c>
      <c r="R58" s="45">
        <f>1.367887224/'US$'!B246</f>
        <v>0.559646192619262</v>
      </c>
      <c r="S58" s="45">
        <f>1.216539646/'US$'!B246</f>
        <v>0.4977250822354963</v>
      </c>
      <c r="T58" s="45">
        <f>59.808947017/'US$'!B246</f>
        <v>24.469743481302675</v>
      </c>
      <c r="U58" s="45">
        <f>68.858610102/'US$'!B246</f>
        <v>28.172248630226658</v>
      </c>
      <c r="V58" s="45">
        <f>22.789206768/'US$'!B246</f>
        <v>9.323789693151133</v>
      </c>
      <c r="W58" s="45">
        <f>24.576995989/'US$'!B246</f>
        <v>10.055231154979134</v>
      </c>
      <c r="X58" s="45">
        <f>4.962149485/'US$'!B246</f>
        <v>2.0301732611897556</v>
      </c>
      <c r="Y58" s="45">
        <f>521.551612267/'US$'!B246</f>
        <v>213.38336153629</v>
      </c>
      <c r="Z58" s="45">
        <f>275.972189091/'US$'!B246</f>
        <v>112.90900461950741</v>
      </c>
      <c r="AA58" s="45">
        <f>0/'US$'!B246</f>
        <v>0</v>
      </c>
      <c r="AB58" s="45">
        <f>13.223416566/'US$'!B246</f>
        <v>5.410120516324359</v>
      </c>
      <c r="AC58" s="45">
        <f>2.5291048/'US$'!B246</f>
        <v>1.0347372555437362</v>
      </c>
      <c r="AD58" s="45">
        <f>6.232387243/'US$'!B246</f>
        <v>2.5498679498404386</v>
      </c>
      <c r="AE58" s="45">
        <f>14.823133123/'US$'!B246</f>
        <v>6.064615466410277</v>
      </c>
      <c r="AF58" s="45">
        <f>8.583373902/'US$'!B246</f>
        <v>3.5117314057769415</v>
      </c>
    </row>
    <row r="59" spans="1:32" ht="12.75">
      <c r="A59" s="28">
        <v>41944</v>
      </c>
      <c r="B59" s="29">
        <f>(516.217308563+0.870689485+3.043072338)/'US$'!B247</f>
        <v>203.16826310925353</v>
      </c>
      <c r="C59" s="45">
        <f>5.181885506/'US$'!B247</f>
        <v>2.024094959571892</v>
      </c>
      <c r="D59" s="45">
        <f>3.227658926/'US$'!B247</f>
        <v>1.2607550197257922</v>
      </c>
      <c r="E59" s="45">
        <f>0.645523149/'US$'!B247</f>
        <v>0.2521476305613062</v>
      </c>
      <c r="F59" s="45">
        <f>0.258406639/'US$'!B247</f>
        <v>0.1009361505409945</v>
      </c>
      <c r="G59" s="45">
        <f>0.725950334/'US$'!B247</f>
        <v>0.28356327252841684</v>
      </c>
      <c r="H59" s="45">
        <f>61.807578094/'US$'!B247</f>
        <v>24.1426421210109</v>
      </c>
      <c r="I59" s="45">
        <f>20.663335581/'US$'!B247</f>
        <v>8.071300176164993</v>
      </c>
      <c r="J59" s="45">
        <f>0.974169994/'US$'!B247</f>
        <v>0.38052028983242847</v>
      </c>
      <c r="K59" s="29">
        <f>0.000349801/'US$'!B247</f>
        <v>0.00013663567829381667</v>
      </c>
      <c r="L59" s="45">
        <f>4.722807283/'US$'!B247</f>
        <v>1.8447745334166634</v>
      </c>
      <c r="M59" s="45">
        <f>0/'US$'!B247</f>
        <v>0</v>
      </c>
      <c r="N59" s="45">
        <f>6.306590416/'US$'!B247</f>
        <v>2.463415654076013</v>
      </c>
      <c r="O59" s="45">
        <f>392.096471164/'US$'!B247</f>
        <v>153.15670136479045</v>
      </c>
      <c r="P59" s="45">
        <f>(0)/'US$'!B247</f>
        <v>0</v>
      </c>
      <c r="Q59" s="45">
        <f>0.018895681/'US$'!B247</f>
        <v>0.007380837076676693</v>
      </c>
      <c r="R59" s="45">
        <f>1.11955913/'US$'!B247</f>
        <v>0.43731070270692557</v>
      </c>
      <c r="S59" s="45">
        <f>1.343631188/'US$'!B247</f>
        <v>0.5248354314284599</v>
      </c>
      <c r="T59" s="45">
        <f>72.112020019/'US$'!B247</f>
        <v>28.16765752079997</v>
      </c>
      <c r="U59" s="45">
        <f>57.474546267/'US$'!B247</f>
        <v>22.450117677825087</v>
      </c>
      <c r="V59" s="45">
        <f>20.958540085/'US$'!B247</f>
        <v>8.186609931252686</v>
      </c>
      <c r="W59" s="45">
        <f>22.867622005/'US$'!B247</f>
        <v>8.932315927112223</v>
      </c>
      <c r="X59" s="45">
        <f>9.582041282/'US$'!B247</f>
        <v>3.742838671145659</v>
      </c>
      <c r="Y59" s="45">
        <f>552.536858778/'US$'!B247</f>
        <v>215.8262797461037</v>
      </c>
      <c r="Z59" s="45">
        <f>291.739348329/'US$'!B247</f>
        <v>113.95623152572166</v>
      </c>
      <c r="AA59" s="45">
        <f>(0)/'US$'!B247</f>
        <v>0</v>
      </c>
      <c r="AB59" s="45">
        <f>13.077224836/'US$'!B247</f>
        <v>5.108091416741534</v>
      </c>
      <c r="AC59" s="45">
        <f>1.217369456/'US$'!B247</f>
        <v>0.4755163688918402</v>
      </c>
      <c r="AD59" s="45">
        <f>6.565787466/'US$'!B247</f>
        <v>2.5646605468536388</v>
      </c>
      <c r="AE59" s="45">
        <f>8.407752835/'US$'!B247</f>
        <v>3.2841501640560917</v>
      </c>
      <c r="AF59" s="45">
        <f>5.738225405/'US$'!B247</f>
        <v>2.2414067438771923</v>
      </c>
    </row>
    <row r="60" spans="1:32" ht="12.75">
      <c r="A60" s="28">
        <v>41974</v>
      </c>
      <c r="B60" s="29">
        <f>(472.728982784+0.714348628+3.235672146)/'US$'!B248</f>
        <v>179.45900292071377</v>
      </c>
      <c r="C60" s="45">
        <f>5.25725802/'US$'!B248</f>
        <v>1.979240275581658</v>
      </c>
      <c r="D60" s="45">
        <f>3.242310856/'US$'!B248</f>
        <v>1.2206576522852195</v>
      </c>
      <c r="E60" s="45">
        <f>0.615039381/'US$'!B248</f>
        <v>0.23154859611475037</v>
      </c>
      <c r="F60" s="45">
        <f>0.25701647/'US$'!B248</f>
        <v>0.09676096302989232</v>
      </c>
      <c r="G60" s="45">
        <f>0.743524204/'US$'!B248</f>
        <v>0.2799202635343724</v>
      </c>
      <c r="H60" s="45">
        <f>55.183376061/'US$'!B248</f>
        <v>20.775309111136206</v>
      </c>
      <c r="I60" s="45">
        <f>23.593412944/'US$'!B248</f>
        <v>8.882393247496424</v>
      </c>
      <c r="J60" s="45">
        <f>0.981741218/'US$'!B248</f>
        <v>0.3696036510804909</v>
      </c>
      <c r="K60" s="29">
        <f>0/'US$'!B248</f>
        <v>0</v>
      </c>
      <c r="L60" s="45">
        <f>4.826738668/'US$'!B248</f>
        <v>1.8171593509524884</v>
      </c>
      <c r="M60" s="45">
        <f>0/'US$'!B248</f>
        <v>0</v>
      </c>
      <c r="N60" s="45">
        <f>6.388202234/'US$'!B248</f>
        <v>2.405015523680446</v>
      </c>
      <c r="O60" s="45">
        <f>366.934302575/'US$'!B248</f>
        <v>138.14257306490475</v>
      </c>
      <c r="P60" s="45">
        <f>(0)/'US$'!B248</f>
        <v>0</v>
      </c>
      <c r="Q60" s="45">
        <f>0.002704483/'US$'!B248</f>
        <v>0.0010181774715759355</v>
      </c>
      <c r="R60" s="45">
        <f>1.453501539/'US$'!B248</f>
        <v>0.5472108798283262</v>
      </c>
      <c r="S60" s="45">
        <f>0.880558876/'US$'!B248</f>
        <v>0.3315107582260372</v>
      </c>
      <c r="T60" s="45">
        <f>100.009881414/'US$'!B248</f>
        <v>37.65148761915518</v>
      </c>
      <c r="U60" s="45">
        <f>48.501466217/'US$'!B248</f>
        <v>18.2597192293502</v>
      </c>
      <c r="V60" s="45">
        <f>35.225345647/'US$'!B248</f>
        <v>13.261556225811308</v>
      </c>
      <c r="W60" s="45">
        <f>21.235393413/'US$'!B248</f>
        <v>7.994651537158346</v>
      </c>
      <c r="X60" s="45">
        <f>7.10391161/'US$'!B248</f>
        <v>2.6744641254423613</v>
      </c>
      <c r="Y60" s="45">
        <f>528.915748675/'US$'!B248</f>
        <v>199.12497126534146</v>
      </c>
      <c r="Z60" s="45">
        <f>360.603079633/'US$'!B248</f>
        <v>135.75900897259243</v>
      </c>
      <c r="AA60" s="45">
        <f>(0)/'US$'!B248</f>
        <v>0</v>
      </c>
      <c r="AB60" s="45">
        <f>13.771733586/'US$'!B248</f>
        <v>5.184750239439801</v>
      </c>
      <c r="AC60" s="45">
        <f>3.941603922/'US$'!B248</f>
        <v>1.4839258798283261</v>
      </c>
      <c r="AD60" s="45">
        <f>6.258408434/'US$'!B248</f>
        <v>2.3561510556434</v>
      </c>
      <c r="AE60" s="45">
        <f>13.185060286/'US$'!B248</f>
        <v>4.963880839545215</v>
      </c>
      <c r="AF60" s="45">
        <f>4.013019645/'US$'!B248</f>
        <v>1.510812305172803</v>
      </c>
    </row>
    <row r="61" spans="1:32" ht="12.75">
      <c r="A61" s="28">
        <v>42005</v>
      </c>
      <c r="B61" s="29">
        <f>(444.639709746+0.588535073+3.195573743)/'US$'!B249</f>
        <v>168.4347438538106</v>
      </c>
      <c r="C61" s="45">
        <f>5.446635204/'US$'!B249</f>
        <v>2.0458382616534574</v>
      </c>
      <c r="D61" s="45">
        <f>3.249945455/'US$'!B249</f>
        <v>1.2207284885249596</v>
      </c>
      <c r="E61" s="45">
        <f>0.569302019/'US$'!B249</f>
        <v>0.21383841753371144</v>
      </c>
      <c r="F61" s="45">
        <f>0.259400714/'US$'!B249</f>
        <v>0.0974348172632686</v>
      </c>
      <c r="G61" s="45">
        <f>1.455995766/'US$'!B249</f>
        <v>0.5468939510949179</v>
      </c>
      <c r="H61" s="45">
        <f>58.697027065/'US$'!B249</f>
        <v>22.04748791082898</v>
      </c>
      <c r="I61" s="45">
        <f>25.709494847/'US$'!B249</f>
        <v>9.656873698305976</v>
      </c>
      <c r="J61" s="45">
        <f>1.016631075/'US$'!B249</f>
        <v>0.38186195207151713</v>
      </c>
      <c r="K61" s="29">
        <f>0/'US$'!B249</f>
        <v>0</v>
      </c>
      <c r="L61" s="45">
        <f>5.00326728/'US$'!B249</f>
        <v>1.87930258798783</v>
      </c>
      <c r="M61" s="45">
        <f>0/'US$'!B249</f>
        <v>0</v>
      </c>
      <c r="N61" s="45">
        <f>6.380147477/'US$'!B249</f>
        <v>2.3964795391203095</v>
      </c>
      <c r="O61" s="45">
        <f>399.075832826/'US$'!B249</f>
        <v>149.89889675318332</v>
      </c>
      <c r="P61" s="45">
        <f>(0)/'US$'!B249</f>
        <v>0</v>
      </c>
      <c r="Q61" s="45">
        <f>0.002950483/'US$'!B249</f>
        <v>0.0011082458776246102</v>
      </c>
      <c r="R61" s="45">
        <f>0.824914023/'US$'!B249</f>
        <v>0.30985013822634566</v>
      </c>
      <c r="S61" s="45">
        <f>0.925370881/'US$'!B249</f>
        <v>0.3475832479435075</v>
      </c>
      <c r="T61" s="45">
        <f>99.743871636/'US$'!B249</f>
        <v>37.465301294369524</v>
      </c>
      <c r="U61" s="45">
        <f>67.971398688/'US$'!B249</f>
        <v>25.531081654208762</v>
      </c>
      <c r="V61" s="45">
        <f>23.651465836/'US$'!B249</f>
        <v>8.883846987942755</v>
      </c>
      <c r="W61" s="45">
        <f>23.373743312/'US$'!B249</f>
        <v>8.779530222739735</v>
      </c>
      <c r="X61" s="45">
        <f>7.811266977/'US$'!B249</f>
        <v>2.9340295898283437</v>
      </c>
      <c r="Y61" s="45">
        <f>414.529024759/'US$'!B249</f>
        <v>155.70334851782292</v>
      </c>
      <c r="Z61" s="45">
        <f>266.402362873/'US$'!B249</f>
        <v>100.06474209255155</v>
      </c>
      <c r="AA61" s="45">
        <f>0/'US$'!B249</f>
        <v>0</v>
      </c>
      <c r="AB61" s="45">
        <f>14.405130293/'US$'!B249</f>
        <v>5.4107840187056295</v>
      </c>
      <c r="AC61" s="45">
        <f>1.001771555/'US$'!B249</f>
        <v>0.3762804924313563</v>
      </c>
      <c r="AD61" s="45">
        <f>5.886561038/'US$'!B249</f>
        <v>2.2110810344439016</v>
      </c>
      <c r="AE61" s="45">
        <f>13.341636351/'US$'!B249</f>
        <v>5.011319667580663</v>
      </c>
      <c r="AF61" s="45">
        <f>7.434895033/'US$'!B249</f>
        <v>2.792658615858468</v>
      </c>
    </row>
    <row r="62" spans="1:32" ht="12.75">
      <c r="A62" s="28">
        <v>42036</v>
      </c>
      <c r="B62" s="29">
        <f>(481.722411871+0.678175301+3.392968116)/'US$'!B250</f>
        <v>168.78380768813844</v>
      </c>
      <c r="C62" s="45">
        <f>5.533967081/'US$'!B250</f>
        <v>1.9227180463484121</v>
      </c>
      <c r="D62" s="45">
        <f>5.71701889/'US$'!B250</f>
        <v>1.9863174518796471</v>
      </c>
      <c r="E62" s="45">
        <f>0.519184644/'US$'!B250</f>
        <v>0.18038518657494265</v>
      </c>
      <c r="F62" s="45">
        <f>0.261524065/'US$'!B250</f>
        <v>0.0908637568619276</v>
      </c>
      <c r="G62" s="45">
        <f>0.743468043/'US$'!B250</f>
        <v>0.25831006983531374</v>
      </c>
      <c r="H62" s="45">
        <f>78.461142387/'US$'!B250</f>
        <v>27.260490023973315</v>
      </c>
      <c r="I62" s="45">
        <f>26.357401407/'US$'!B250</f>
        <v>9.15759898790911</v>
      </c>
      <c r="J62" s="45">
        <f>1.133937906/'US$'!B250</f>
        <v>0.39397467375442985</v>
      </c>
      <c r="K62" s="29">
        <f>0.000346371/'US$'!B250</f>
        <v>0.00012034292265999583</v>
      </c>
      <c r="L62" s="45">
        <f>4.926767299/'US$'!B250</f>
        <v>1.7117529355152525</v>
      </c>
      <c r="M62" s="45">
        <f>0/'US$'!B250</f>
        <v>0</v>
      </c>
      <c r="N62" s="45">
        <f>6.502936222/'US$'!B250</f>
        <v>2.2593760760197346</v>
      </c>
      <c r="O62" s="45">
        <f>416.722041942/'US$'!B250</f>
        <v>144.78564447988325</v>
      </c>
      <c r="P62" s="45">
        <f>0.01879352/'US$'!B250</f>
        <v>0.00652960878326732</v>
      </c>
      <c r="Q62" s="45">
        <f>0.017177803/'US$'!B250</f>
        <v>0.005968245083732888</v>
      </c>
      <c r="R62" s="45">
        <f>1.021927717/'US$'!B250</f>
        <v>0.35505792404975334</v>
      </c>
      <c r="S62" s="45">
        <f>0.865391464/'US$'!B250</f>
        <v>0.3006710666388715</v>
      </c>
      <c r="T62" s="45">
        <f>114.046733451/'US$'!B250</f>
        <v>39.62432542943506</v>
      </c>
      <c r="U62" s="45">
        <f>64.599799717/'US$'!B250</f>
        <v>22.444513833993465</v>
      </c>
      <c r="V62" s="45">
        <f>11.186322361/'US$'!B250</f>
        <v>3.886568814189424</v>
      </c>
      <c r="W62" s="45">
        <f>26.033034337/'US$'!B250</f>
        <v>9.044901096866097</v>
      </c>
      <c r="X62" s="45">
        <f>7.671048438/'US$'!B250</f>
        <v>2.665224250573275</v>
      </c>
      <c r="Y62" s="45">
        <f>383.861422747/'US$'!B250</f>
        <v>133.36857158884024</v>
      </c>
      <c r="Z62" s="45">
        <f>288.989094751/'US$'!B250</f>
        <v>100.40618954589674</v>
      </c>
      <c r="AA62" s="45">
        <f>0/'US$'!B250</f>
        <v>0</v>
      </c>
      <c r="AB62" s="45">
        <f>21.409383883/'US$'!B250</f>
        <v>7.438462887568619</v>
      </c>
      <c r="AC62" s="45">
        <f>0.540744545/'US$'!B250</f>
        <v>0.1878759450350914</v>
      </c>
      <c r="AD62" s="45">
        <f>6.586133236/'US$'!B250</f>
        <v>2.2882819943019945</v>
      </c>
      <c r="AE62" s="45">
        <f>16.40586782/'US$'!B250</f>
        <v>5.700044409700507</v>
      </c>
      <c r="AF62" s="45">
        <f>4.822447369/'US$'!B250</f>
        <v>1.675508084566743</v>
      </c>
    </row>
    <row r="63" spans="1:32" ht="12.75">
      <c r="A63" s="28">
        <v>42064</v>
      </c>
      <c r="B63" s="29">
        <f>(489.701119305+0.678963138+3.396949382)/'US$'!B251</f>
        <v>153.92052114245635</v>
      </c>
      <c r="C63" s="45">
        <f>8.129815948/'US$'!B251</f>
        <v>2.5342319039900247</v>
      </c>
      <c r="D63" s="45">
        <f>5.489524987/'US$'!B251</f>
        <v>1.7111985620324188</v>
      </c>
      <c r="E63" s="45">
        <f>0.520924473/'US$'!B251</f>
        <v>0.16238294046134663</v>
      </c>
      <c r="F63" s="45">
        <f>0.264171907/'US$'!B251</f>
        <v>0.08234785130922692</v>
      </c>
      <c r="G63" s="45">
        <f>0.779326575/'US$'!B251</f>
        <v>0.24293222412718204</v>
      </c>
      <c r="H63" s="45">
        <f>66.925645971/'US$'!B251</f>
        <v>20.862109093204484</v>
      </c>
      <c r="I63" s="45">
        <f>24.539430184/'US$'!B251</f>
        <v>7.649448311720698</v>
      </c>
      <c r="J63" s="45">
        <f>1.137909045/'US$'!B251</f>
        <v>0.3547098020573566</v>
      </c>
      <c r="K63" s="29">
        <f>0.000346371/'US$'!B251</f>
        <v>0.00010797100997506233</v>
      </c>
      <c r="L63" s="45">
        <f>4.89223083/'US$'!B251</f>
        <v>1.525009610349127</v>
      </c>
      <c r="M63" s="45">
        <f>0/'US$'!B251</f>
        <v>0</v>
      </c>
      <c r="N63" s="45">
        <f>6.507874425/'US$'!B251</f>
        <v>2.028639159912718</v>
      </c>
      <c r="O63" s="45">
        <f>437.445898166/'US$'!B251</f>
        <v>136.36094082481296</v>
      </c>
      <c r="P63" s="45">
        <f>0/'US$'!B251</f>
        <v>0</v>
      </c>
      <c r="Q63" s="45">
        <f>0.021159823/'US$'!B251</f>
        <v>0.0065959548004987534</v>
      </c>
      <c r="R63" s="45">
        <f>1.641489745/'US$'!B251</f>
        <v>0.511686329488778</v>
      </c>
      <c r="S63" s="45">
        <f>1.515014944/'US$'!B251</f>
        <v>0.4722615162094763</v>
      </c>
      <c r="T63" s="45">
        <f>125.03644095/'US$'!B251</f>
        <v>38.97644668017456</v>
      </c>
      <c r="U63" s="45">
        <f>80.887756248/'US$'!B251</f>
        <v>25.21438785785536</v>
      </c>
      <c r="V63" s="45">
        <f>29.537179528/'US$'!B251</f>
        <v>9.207350226932668</v>
      </c>
      <c r="W63" s="45">
        <f>38.449121628/'US$'!B251</f>
        <v>11.985387041147131</v>
      </c>
      <c r="X63" s="45">
        <f>5.968460201/'US$'!B251</f>
        <v>1.8604925813591022</v>
      </c>
      <c r="Y63" s="45">
        <f>471.172513623/'US$'!B251</f>
        <v>146.87422494482541</v>
      </c>
      <c r="Z63" s="45">
        <f>353.537750407/'US$'!B251</f>
        <v>110.20503441614711</v>
      </c>
      <c r="AA63" s="45">
        <f>0/'US$'!B251</f>
        <v>0</v>
      </c>
      <c r="AB63" s="45">
        <f>21.006188731/'US$'!B251</f>
        <v>6.548063818890275</v>
      </c>
      <c r="AC63" s="45">
        <f>2.934312024/'US$'!B251</f>
        <v>0.9146857930174563</v>
      </c>
      <c r="AD63" s="45">
        <f>6.323270892/'US$'!B251</f>
        <v>1.9710944177057355</v>
      </c>
      <c r="AE63" s="45">
        <f>19.472624206/'US$'!B251</f>
        <v>6.070020014339152</v>
      </c>
      <c r="AF63" s="45">
        <f>5.267183848/'US$'!B251</f>
        <v>1.6418902269326683</v>
      </c>
    </row>
    <row r="64" spans="1:32" ht="12.75">
      <c r="A64" s="28">
        <v>42095</v>
      </c>
      <c r="B64" s="29">
        <f>(528.439603513+0.901134091+4.151606746)/'US$'!B252</f>
        <v>178.2109648416622</v>
      </c>
      <c r="C64" s="45">
        <f>8.694524879/'US$'!B252</f>
        <v>2.9043709510288616</v>
      </c>
      <c r="D64" s="45">
        <f>5.667345399/'US$'!B252</f>
        <v>1.8931538612373064</v>
      </c>
      <c r="E64" s="45">
        <f>0.533123242/'US$'!B252</f>
        <v>0.17808766769107431</v>
      </c>
      <c r="F64" s="45">
        <f>0.266672107/'US$'!B252</f>
        <v>0.08908074124799573</v>
      </c>
      <c r="G64" s="45">
        <f>0.660231098/'US$'!B252</f>
        <v>0.22054753407268843</v>
      </c>
      <c r="H64" s="45">
        <f>67.462495021/'US$'!B252</f>
        <v>22.535574232028328</v>
      </c>
      <c r="I64" s="45">
        <f>23.754341249/'US$'!B252</f>
        <v>7.935041838923036</v>
      </c>
      <c r="J64" s="45">
        <f>1.205004281/'US$'!B252</f>
        <v>0.4025268175440941</v>
      </c>
      <c r="K64" s="29">
        <f>0/'US$'!B252</f>
        <v>0</v>
      </c>
      <c r="L64" s="45">
        <f>4.996032481/'US$'!B252</f>
        <v>1.6689044899118122</v>
      </c>
      <c r="M64" s="45">
        <f>0/'US$'!B252</f>
        <v>0</v>
      </c>
      <c r="N64" s="45">
        <f>6.505314499/'US$'!B252</f>
        <v>2.1730740576563337</v>
      </c>
      <c r="O64" s="45">
        <f>446.276776121/'US$'!B252</f>
        <v>149.076956213589</v>
      </c>
      <c r="P64" s="45">
        <f>0/'US$'!B252</f>
        <v>0</v>
      </c>
      <c r="Q64" s="45">
        <f>0.089758599/'US$'!B252</f>
        <v>0.029983497795296632</v>
      </c>
      <c r="R64" s="45">
        <f>1.252543203/'US$'!B252</f>
        <v>0.4184070026055586</v>
      </c>
      <c r="S64" s="45">
        <f>1.544631268/'US$'!B252</f>
        <v>0.515977842063068</v>
      </c>
      <c r="T64" s="45">
        <f>124.198564812/'US$'!B252</f>
        <v>41.48802940005345</v>
      </c>
      <c r="U64" s="45">
        <f>77.90946331/'US$'!B252</f>
        <v>26.025341832576167</v>
      </c>
      <c r="V64" s="45">
        <f>17.628934676/'US$'!B252</f>
        <v>5.88887449091395</v>
      </c>
      <c r="W64" s="45">
        <f>33.961969793/'US$'!B252</f>
        <v>11.344858963455373</v>
      </c>
      <c r="X64" s="45">
        <f>5.879349863/'US$'!B252</f>
        <v>1.963973096940139</v>
      </c>
      <c r="Y64" s="45">
        <f>449.784792072/'US$'!B252</f>
        <v>150.2487947862106</v>
      </c>
      <c r="Z64" s="45">
        <f>351.196416446/'US$'!B252</f>
        <v>117.31574573957778</v>
      </c>
      <c r="AA64" s="45">
        <f>(0)/'US$'!B252</f>
        <v>0</v>
      </c>
      <c r="AB64" s="45">
        <f>25.681723132/'US$'!B252</f>
        <v>8.578875979422769</v>
      </c>
      <c r="AC64" s="45">
        <f>2.927869749/'US$'!B252</f>
        <v>0.9780430748931054</v>
      </c>
      <c r="AD64" s="45">
        <f>6.233426108/'US$'!B252</f>
        <v>2.0822508377872797</v>
      </c>
      <c r="AE64" s="45">
        <f>21.020150597/'US$'!B252</f>
        <v>7.0216964848343135</v>
      </c>
      <c r="AF64" s="45">
        <f>7.9164142/'US$'!B252</f>
        <v>2.6444462185996795</v>
      </c>
    </row>
    <row r="65" spans="1:32" ht="12.75">
      <c r="A65" s="28">
        <v>42125</v>
      </c>
      <c r="B65" s="29">
        <f>(513.831209989+0.860627731+5.271231537)/'US$'!B253</f>
        <v>163.57212446740905</v>
      </c>
      <c r="C65" s="45">
        <f>8.677058793/'US$'!B253</f>
        <v>2.729664902793507</v>
      </c>
      <c r="D65" s="45">
        <f>4.320440316/'US$'!B253</f>
        <v>1.359141913929785</v>
      </c>
      <c r="E65" s="45">
        <f>0.5483256/'US$'!B253</f>
        <v>0.1724945262363156</v>
      </c>
      <c r="F65" s="45">
        <f>0.269290728/'US$'!B253</f>
        <v>0.08471458663646658</v>
      </c>
      <c r="G65" s="45">
        <f>0.615406912/'US$'!B253</f>
        <v>0.19359724172643766</v>
      </c>
      <c r="H65" s="45">
        <f>66.889022513/'US$'!B253</f>
        <v>21.042224271108594</v>
      </c>
      <c r="I65" s="45">
        <f>23.985182358/'US$'!B253</f>
        <v>7.545357480181201</v>
      </c>
      <c r="J65" s="45">
        <f>1.241386802/'US$'!B253</f>
        <v>0.3905205744306028</v>
      </c>
      <c r="K65" s="29">
        <f>0.000346371/'US$'!B253</f>
        <v>0.00010896281615704039</v>
      </c>
      <c r="L65" s="45">
        <f>5.077871487/'US$'!B253</f>
        <v>1.5974177321630807</v>
      </c>
      <c r="M65" s="45">
        <f>0/'US$'!B253</f>
        <v>0</v>
      </c>
      <c r="N65" s="45">
        <f>6.688454873/'US$'!B253</f>
        <v>2.104081689002139</v>
      </c>
      <c r="O65" s="45">
        <f>439.916578937/'US$'!B253</f>
        <v>138.39076976752233</v>
      </c>
      <c r="P65" s="45">
        <f>(0)/'US$'!B253</f>
        <v>0</v>
      </c>
      <c r="Q65" s="45">
        <f>0.200730036/'US$'!B253</f>
        <v>0.06314648169120424</v>
      </c>
      <c r="R65" s="45">
        <f>1.484570121/'US$'!B253</f>
        <v>0.467022184786712</v>
      </c>
      <c r="S65" s="45">
        <f>1.576797973/'US$'!B253</f>
        <v>0.4960356024285894</v>
      </c>
      <c r="T65" s="45">
        <f>138.03414947/'US$'!B253</f>
        <v>43.423351412482695</v>
      </c>
      <c r="U65" s="45">
        <f>77.198476162/'US$'!B253</f>
        <v>24.28541467283252</v>
      </c>
      <c r="V65" s="45">
        <f>16.557739657/'US$'!B253</f>
        <v>5.208801955769473</v>
      </c>
      <c r="W65" s="45">
        <f>37.225142975/'US$'!B253</f>
        <v>11.710438836982508</v>
      </c>
      <c r="X65" s="45">
        <f>6.018616557/'US$'!B253</f>
        <v>1.89336119195923</v>
      </c>
      <c r="Y65" s="45">
        <f>459.366794147/'US$'!B253</f>
        <v>144.50949859915693</v>
      </c>
      <c r="Z65" s="45">
        <f>475.798962082/'US$'!B253</f>
        <v>149.67879768529005</v>
      </c>
      <c r="AA65" s="45">
        <f>(0)/'US$'!B253</f>
        <v>0</v>
      </c>
      <c r="AB65" s="45">
        <f>26.870910231/'US$'!B253</f>
        <v>8.453161643072859</v>
      </c>
      <c r="AC65" s="45">
        <f>5.211959974/'US$'!B253</f>
        <v>1.6395998408204355</v>
      </c>
      <c r="AD65" s="45">
        <f>6.505209861/'US$'!B253</f>
        <v>2.0464357181955455</v>
      </c>
      <c r="AE65" s="45">
        <f>14.802282968/'US$'!B253</f>
        <v>4.656563158424563</v>
      </c>
      <c r="AF65" s="45">
        <f>6.634614024/'US$'!B253</f>
        <v>2.0871442129105326</v>
      </c>
    </row>
    <row r="66" spans="1:32" ht="12.75">
      <c r="A66" s="28">
        <v>42156</v>
      </c>
      <c r="B66" s="29">
        <f>(515.939137455+2.864366402+3.312418937)/'US$'!B254</f>
        <v>168.2833503493844</v>
      </c>
      <c r="C66" s="45">
        <f>9.779263811/'US$'!B254</f>
        <v>3.151957651969316</v>
      </c>
      <c r="D66" s="45">
        <f>11.644785609/'US$'!B254</f>
        <v>3.753234580351963</v>
      </c>
      <c r="E66" s="45">
        <f>0.543054108/'US$'!B254</f>
        <v>0.1750319435312319</v>
      </c>
      <c r="F66" s="45">
        <f>0.272151194/'US$'!B254</f>
        <v>0.0877171385289757</v>
      </c>
      <c r="G66" s="45">
        <f>0.604707629/'US$'!B254</f>
        <v>0.1949035096370786</v>
      </c>
      <c r="H66" s="45">
        <f>61.226984049/'US$'!B254</f>
        <v>19.734088844517505</v>
      </c>
      <c r="I66" s="45">
        <f>24.748651303/'US$'!B254</f>
        <v>7.976745730355186</v>
      </c>
      <c r="J66" s="45">
        <f>1.269746179/'US$'!B254</f>
        <v>0.409252297750274</v>
      </c>
      <c r="K66" s="29">
        <f>0/'US$'!B254</f>
        <v>0</v>
      </c>
      <c r="L66" s="45">
        <f>5.528767354/'US$'!B254</f>
        <v>1.7819787771546447</v>
      </c>
      <c r="M66" s="45">
        <f>0/'US$'!B254</f>
        <v>0</v>
      </c>
      <c r="N66" s="45">
        <f>6.837908974/'US$'!B254</f>
        <v>2.2039286321150007</v>
      </c>
      <c r="O66" s="45">
        <f>441.90715258/'US$'!B254</f>
        <v>142.43123592470832</v>
      </c>
      <c r="P66" s="45">
        <f>0/'US$'!B254</f>
        <v>0</v>
      </c>
      <c r="Q66" s="45">
        <f>0.020140943/'US$'!B254</f>
        <v>0.006491633791013989</v>
      </c>
      <c r="R66" s="45">
        <f>1.21707521/'US$'!B254</f>
        <v>0.3922759008573455</v>
      </c>
      <c r="S66" s="45">
        <f>1.283450661/'US$'!B254</f>
        <v>0.4136693937342874</v>
      </c>
      <c r="T66" s="45">
        <f>136.132931176/'US$'!B254</f>
        <v>43.877048661122934</v>
      </c>
      <c r="U66" s="45">
        <f>63.358043979/'US$'!B254</f>
        <v>20.420951453297235</v>
      </c>
      <c r="V66" s="45">
        <f>23.530541793/'US$'!B254</f>
        <v>7.584136463933476</v>
      </c>
      <c r="W66" s="45">
        <f>42.532254035/'US$'!B254</f>
        <v>13.708584424353768</v>
      </c>
      <c r="X66" s="45">
        <f>5.489877226/'US$'!B254</f>
        <v>1.769444087539483</v>
      </c>
      <c r="Y66" s="45">
        <f>442.928529618/'US$'!B254</f>
        <v>142.76043628505127</v>
      </c>
      <c r="Z66" s="45">
        <f>422.730897835/'US$'!B254</f>
        <v>136.2505311142268</v>
      </c>
      <c r="AA66" s="45">
        <f>0/'US$'!B254</f>
        <v>0</v>
      </c>
      <c r="AB66" s="45">
        <f>25.096205274/'US$'!B254</f>
        <v>8.088765962096307</v>
      </c>
      <c r="AC66" s="45">
        <f>9.522905224/'US$'!B254</f>
        <v>3.0693306336620902</v>
      </c>
      <c r="AD66" s="45">
        <f>7.313084326/'US$'!B254</f>
        <v>2.357082552053117</v>
      </c>
      <c r="AE66" s="45">
        <f>19.889103706/'US$'!B254</f>
        <v>6.410463387481467</v>
      </c>
      <c r="AF66" s="45">
        <f>5.983049185/'US$'!B254</f>
        <v>1.9283984996454586</v>
      </c>
    </row>
    <row r="67" spans="1:32" ht="12.75">
      <c r="A67" s="28">
        <v>42186</v>
      </c>
      <c r="B67" s="29">
        <f>(490.004727565+3.000981857+3.346067856)/'US$'!B255</f>
        <v>146.24389430701237</v>
      </c>
      <c r="C67" s="45">
        <f>9.641288529/'US$'!B255</f>
        <v>2.840686072186211</v>
      </c>
      <c r="D67" s="45">
        <f>10.871370466/'US$'!B255</f>
        <v>3.203114456688273</v>
      </c>
      <c r="E67" s="45">
        <f>0.536234674/'US$'!B255</f>
        <v>0.1579948951090159</v>
      </c>
      <c r="F67" s="45">
        <f>0.278220568/'US$'!B255</f>
        <v>0.08197423924572775</v>
      </c>
      <c r="G67" s="45">
        <f>0.656675027/'US$'!B255</f>
        <v>0.19348115114908662</v>
      </c>
      <c r="H67" s="45">
        <f>73.91537157/'US$'!B255</f>
        <v>21.77824736888627</v>
      </c>
      <c r="I67" s="45">
        <f>25.644666945/'US$'!B255</f>
        <v>7.555883012669416</v>
      </c>
      <c r="J67" s="45">
        <f>1.565691162/'US$'!B255</f>
        <v>0.4613114796700059</v>
      </c>
      <c r="K67" s="29">
        <f>0.004266003/'US$'!B255</f>
        <v>0.0012569248674130819</v>
      </c>
      <c r="L67" s="45">
        <f>5.112848702/'US$'!B255</f>
        <v>1.506437449027696</v>
      </c>
      <c r="M67" s="45">
        <f>0/'US$'!B255</f>
        <v>0</v>
      </c>
      <c r="N67" s="45">
        <f>6.474908495/'US$'!B255</f>
        <v>1.9077514717147908</v>
      </c>
      <c r="O67" s="45">
        <f>426.527478323/'US$'!B255</f>
        <v>125.6710307374779</v>
      </c>
      <c r="P67" s="45">
        <f>0/'US$'!B255</f>
        <v>0</v>
      </c>
      <c r="Q67" s="45">
        <f>0.016959277/'US$'!B255</f>
        <v>0.004996840601060695</v>
      </c>
      <c r="R67" s="45">
        <f>1.414210328/'US$'!B255</f>
        <v>0.41667953093694754</v>
      </c>
      <c r="S67" s="45">
        <f>1.757424257/'US$'!B255</f>
        <v>0.5178032578078963</v>
      </c>
      <c r="T67" s="45">
        <f>61.64809408/'US$'!B255</f>
        <v>18.16384622274602</v>
      </c>
      <c r="U67" s="45">
        <f>111.273050682/'US$'!B255</f>
        <v>32.78522412551562</v>
      </c>
      <c r="V67" s="45">
        <f>59.741988699/'US$'!B255</f>
        <v>17.602235916028285</v>
      </c>
      <c r="W67" s="45">
        <f>35.169707298/'US$'!B255</f>
        <v>10.362318001767825</v>
      </c>
      <c r="X67" s="45">
        <f>7.697114268/'US$'!B255</f>
        <v>2.2678592421921038</v>
      </c>
      <c r="Y67" s="45">
        <f>421.2108316/'US$'!B255</f>
        <v>124.10454672952268</v>
      </c>
      <c r="Z67" s="45">
        <f>366.579930239/'US$'!B255</f>
        <v>108.00822929846788</v>
      </c>
      <c r="AA67" s="45">
        <f>0/'US$'!B255</f>
        <v>0</v>
      </c>
      <c r="AB67" s="45">
        <f>24.451497516/'US$'!B255</f>
        <v>7.204330440777843</v>
      </c>
      <c r="AC67" s="45">
        <f>7.042359954/'US$'!B255</f>
        <v>2.0749440053034767</v>
      </c>
      <c r="AD67" s="45">
        <f>6.292210407/'US$'!B255</f>
        <v>1.8539217463170299</v>
      </c>
      <c r="AE67" s="45">
        <f>19.148009582/'US$'!B255</f>
        <v>5.641723506776665</v>
      </c>
      <c r="AF67" s="45">
        <f>6.918871193/'US$'!B255</f>
        <v>2.038559573659399</v>
      </c>
    </row>
    <row r="68" spans="1:32" ht="12.75">
      <c r="A68" s="28">
        <v>42217</v>
      </c>
      <c r="B68" s="29">
        <f>(442.312529783+3.000239901+3.305338943)/'US$'!B256</f>
        <v>123.0202946847835</v>
      </c>
      <c r="C68" s="45">
        <f>8.444630218/'US$'!B256</f>
        <v>2.315690958400746</v>
      </c>
      <c r="D68" s="45">
        <f>12.211978372/'US$'!B256</f>
        <v>3.3487751589107964</v>
      </c>
      <c r="E68" s="45">
        <f>0.462413399/'US$'!B256</f>
        <v>0.12680324649683275</v>
      </c>
      <c r="F68" s="45">
        <f>0.278371528/'US$'!B256</f>
        <v>0.07633518742973099</v>
      </c>
      <c r="G68" s="45">
        <f>1.187055296/'US$'!B256</f>
        <v>0.3255149302108756</v>
      </c>
      <c r="H68" s="45">
        <f>78.426877267/'US$'!B256</f>
        <v>21.50625970521293</v>
      </c>
      <c r="I68" s="45">
        <f>29.093356653/'US$'!B256</f>
        <v>7.977995627005238</v>
      </c>
      <c r="J68" s="45">
        <f>1.597003261/'US$'!B256</f>
        <v>0.4379310776866756</v>
      </c>
      <c r="K68" s="29">
        <f>0.01356852/'US$'!B256</f>
        <v>0.003720766720596704</v>
      </c>
      <c r="L68" s="45">
        <f>5.210907724/'US$'!B256</f>
        <v>1.428937868209614</v>
      </c>
      <c r="M68" s="45">
        <f>0/'US$'!B256</f>
        <v>0</v>
      </c>
      <c r="N68" s="45">
        <f>6.728395271/'US$'!B256</f>
        <v>1.845064104807086</v>
      </c>
      <c r="O68" s="45">
        <f>428.732705168/'US$'!B256</f>
        <v>117.5673088458058</v>
      </c>
      <c r="P68" s="45">
        <f>0/'US$'!B256</f>
        <v>0</v>
      </c>
      <c r="Q68" s="45">
        <f>0.046758605/'US$'!B256</f>
        <v>0.012822169358598185</v>
      </c>
      <c r="R68" s="45">
        <f>0.956411576/'US$'!B256</f>
        <v>0.2622676874982861</v>
      </c>
      <c r="S68" s="45">
        <f>1.776826971/'US$'!B256</f>
        <v>0.487242430416541</v>
      </c>
      <c r="T68" s="45">
        <f>60.141960705/'US$'!B256</f>
        <v>16.4921602284257</v>
      </c>
      <c r="U68" s="45">
        <f>103.770569178/'US$'!B256</f>
        <v>28.456020286286233</v>
      </c>
      <c r="V68" s="45">
        <f>45.899617165/'US$'!B256</f>
        <v>12.586617260811146</v>
      </c>
      <c r="W68" s="45">
        <f>41.561993488/'US$'!B256</f>
        <v>11.397151805193737</v>
      </c>
      <c r="X68" s="45">
        <f>5.369470914/'US$'!B256</f>
        <v>1.4724191499163626</v>
      </c>
      <c r="Y68" s="45">
        <f>461.727724411/'US$'!B256</f>
        <v>126.615220448899</v>
      </c>
      <c r="Z68" s="45">
        <f>335.9398437/'US$'!B256</f>
        <v>92.12160136561822</v>
      </c>
      <c r="AA68" s="45">
        <f>0/'US$'!B256</f>
        <v>0</v>
      </c>
      <c r="AB68" s="45">
        <f>25.961553351/'US$'!B256</f>
        <v>7.1191908714728385</v>
      </c>
      <c r="AC68" s="45">
        <f>1.81134253/'US$'!B256</f>
        <v>0.49670730523486983</v>
      </c>
      <c r="AD68" s="45">
        <f>6.582234067/'US$'!B256</f>
        <v>1.8049837022513504</v>
      </c>
      <c r="AE68" s="45">
        <f>24.125172121/'US$'!B256</f>
        <v>6.61561744069981</v>
      </c>
      <c r="AF68" s="45">
        <f>8.641536532/'US$'!B256</f>
        <v>2.3696867118216467</v>
      </c>
    </row>
    <row r="69" spans="1:32" ht="12.75">
      <c r="A69" s="28">
        <v>42248</v>
      </c>
      <c r="B69" s="29">
        <f>(427.60810945+3.120892875+3.224830205)/'US$'!B257</f>
        <v>109.22848109189759</v>
      </c>
      <c r="C69" s="45">
        <f>6.653306523/'US$'!B257</f>
        <v>1.6746725371894586</v>
      </c>
      <c r="D69" s="45">
        <f>13.52714018/'US$'!B257</f>
        <v>3.4048529235570992</v>
      </c>
      <c r="E69" s="45">
        <f>0.468566716/'US$'!B257</f>
        <v>0.11794072742832691</v>
      </c>
      <c r="F69" s="45">
        <f>0.088955254/'US$'!B257</f>
        <v>0.02239050919982884</v>
      </c>
      <c r="G69" s="45">
        <f>1.075330065/'US$'!B257</f>
        <v>0.2706662802990259</v>
      </c>
      <c r="H69" s="45">
        <f>76.430946235/'US$'!B257</f>
        <v>19.238074513579498</v>
      </c>
      <c r="I69" s="45">
        <f>25.180179408/'US$'!B257</f>
        <v>6.337984698331194</v>
      </c>
      <c r="J69" s="45">
        <f>1.462392134/'US$'!B257</f>
        <v>0.36809185582320214</v>
      </c>
      <c r="K69" s="29">
        <f>0.01693792/'US$'!B257</f>
        <v>0.004263364293085655</v>
      </c>
      <c r="L69" s="45">
        <f>5.631537797/'US$'!B257</f>
        <v>1.4174879299755845</v>
      </c>
      <c r="M69" s="45">
        <f>0/'US$'!B257</f>
        <v>0</v>
      </c>
      <c r="N69" s="45">
        <f>7.172516721/'US$'!B257</f>
        <v>1.8053604976213848</v>
      </c>
      <c r="O69" s="45">
        <f>413.01627449/'US$'!B257</f>
        <v>103.95838669234061</v>
      </c>
      <c r="P69" s="45">
        <f>0.025878478/'US$'!B257</f>
        <v>0.0065137501573158145</v>
      </c>
      <c r="Q69" s="45">
        <f>0.017347509/'US$'!B257</f>
        <v>0.00436646001661255</v>
      </c>
      <c r="R69" s="45">
        <f>1.30441032/'US$'!B257</f>
        <v>0.3283269953937929</v>
      </c>
      <c r="S69" s="45">
        <f>1.882443876/'US$'!B257</f>
        <v>0.47382110699992447</v>
      </c>
      <c r="T69" s="45">
        <f>63.636600115/'US$'!B257</f>
        <v>16.017669741246948</v>
      </c>
      <c r="U69" s="45">
        <f>131.14096451/'US$'!B257</f>
        <v>33.00887626418989</v>
      </c>
      <c r="V69" s="45">
        <f>66.090724304/'US$'!B257</f>
        <v>16.63538581489592</v>
      </c>
      <c r="W69" s="45">
        <f>59.060483485/'US$'!B257</f>
        <v>14.865836916358328</v>
      </c>
      <c r="X69" s="45">
        <f>5.828657606/'US$'!B257</f>
        <v>1.4671040313121397</v>
      </c>
      <c r="Y69" s="45">
        <f>542.76010242/'US$'!B257</f>
        <v>136.61559626972738</v>
      </c>
      <c r="Z69" s="45">
        <f>337.522793077/'US$'!B257</f>
        <v>84.95627704623827</v>
      </c>
      <c r="AA69" s="45">
        <f>(0)/'US$'!B257</f>
        <v>0</v>
      </c>
      <c r="AB69" s="45">
        <f>26.314978861/'US$'!B257</f>
        <v>6.6236197389816</v>
      </c>
      <c r="AC69" s="45">
        <f>7.428192491/'US$'!B257</f>
        <v>1.8697154448891238</v>
      </c>
      <c r="AD69" s="45">
        <f>6.436431209/'US$'!B257</f>
        <v>1.620083870472451</v>
      </c>
      <c r="AE69" s="45">
        <f>25.161502203/'US$'!B257</f>
        <v>6.33328354677943</v>
      </c>
      <c r="AF69" s="45">
        <f>9.318205824/'US$'!B257</f>
        <v>2.345441824360039</v>
      </c>
    </row>
    <row r="70" spans="1:32" ht="12.75">
      <c r="A70" s="28">
        <v>42278</v>
      </c>
      <c r="B70" s="29">
        <f>(435.240606573+3.305178074+3.336540249)/'US$'!B258</f>
        <v>114.50991860271061</v>
      </c>
      <c r="C70" s="45">
        <f>6.982210747/'US$'!B258</f>
        <v>1.8093785138251832</v>
      </c>
      <c r="D70" s="45">
        <f>13.681334462/'US$'!B258</f>
        <v>3.545397512762704</v>
      </c>
      <c r="E70" s="45">
        <f>0.503359825/'US$'!B258</f>
        <v>0.13044127212418044</v>
      </c>
      <c r="F70" s="45">
        <f>0.015842647/'US$'!B258</f>
        <v>0.0041054826504962555</v>
      </c>
      <c r="G70" s="45">
        <f>1.279779874/'US$'!B258</f>
        <v>0.33164370001813986</v>
      </c>
      <c r="H70" s="45">
        <f>74.32985069/'US$'!B258</f>
        <v>19.26192715281557</v>
      </c>
      <c r="I70" s="45">
        <f>25.292505515/'US$'!B258</f>
        <v>6.554330383010702</v>
      </c>
      <c r="J70" s="45">
        <f>1.445720694/'US$'!B258</f>
        <v>0.3746458042447329</v>
      </c>
      <c r="K70" s="29">
        <f>0.012220001/'US$'!B258</f>
        <v>0.003166705796988779</v>
      </c>
      <c r="L70" s="45">
        <f>5.697478402/'US$'!B258</f>
        <v>1.4764514244992095</v>
      </c>
      <c r="M70" s="45">
        <f>0/'US$'!B258</f>
        <v>0</v>
      </c>
      <c r="N70" s="45">
        <f>7.195789818/'US$'!B258</f>
        <v>1.8647256518697035</v>
      </c>
      <c r="O70" s="45">
        <f>407.087902094/'US$'!B258</f>
        <v>105.49324991422426</v>
      </c>
      <c r="P70" s="45">
        <f>0.024825131/'US$'!B258</f>
        <v>0.006433214387519759</v>
      </c>
      <c r="Q70" s="45">
        <f>0.399148556/'US$'!B258</f>
        <v>0.10343583819223094</v>
      </c>
      <c r="R70" s="45">
        <f>0.834644974/'US$'!B258</f>
        <v>0.2162909051802327</v>
      </c>
      <c r="S70" s="45">
        <f>1.229594254/'US$'!B258</f>
        <v>0.3186385379253155</v>
      </c>
      <c r="T70" s="45">
        <f>41.92034986/'US$'!B258</f>
        <v>10.863290020472155</v>
      </c>
      <c r="U70" s="45">
        <f>121.237464241/'US$'!B258</f>
        <v>31.417622701028787</v>
      </c>
      <c r="V70" s="45">
        <f>60.865455259/'US$'!B258</f>
        <v>15.772747482184041</v>
      </c>
      <c r="W70" s="45">
        <f>44.080833974/'US$'!B258</f>
        <v>11.42316047941123</v>
      </c>
      <c r="X70" s="45">
        <f>5.987449015/'US$'!B258</f>
        <v>1.5515947588691077</v>
      </c>
      <c r="Y70" s="45">
        <f>497.638522418/'US$'!B258</f>
        <v>128.95864687294306</v>
      </c>
      <c r="Z70" s="45">
        <f>301.353563133/'US$'!B258</f>
        <v>78.09312579569307</v>
      </c>
      <c r="AA70" s="45">
        <f>0/'US$'!B258</f>
        <v>0</v>
      </c>
      <c r="AB70" s="45">
        <f>27.339949579/'US$'!B258</f>
        <v>7.084907507061597</v>
      </c>
      <c r="AC70" s="45">
        <f>9.017255701/'US$'!B258</f>
        <v>2.3367425175568166</v>
      </c>
      <c r="AD70" s="45">
        <f>8.002831049/'US$'!B258</f>
        <v>2.0738632897976106</v>
      </c>
      <c r="AE70" s="45">
        <f>24.210515199/'US$'!B258</f>
        <v>6.2739421075954285</v>
      </c>
      <c r="AF70" s="45">
        <f>6.932588204/'US$'!B258</f>
        <v>1.796519268185234</v>
      </c>
    </row>
    <row r="71" spans="1:32" ht="12.75">
      <c r="A71" s="28">
        <v>42309</v>
      </c>
      <c r="B71" s="29">
        <f>(434.730956889+3.711917632+3.372546674)/'US$'!B259</f>
        <v>114.73937079805745</v>
      </c>
      <c r="C71" s="45">
        <f>7.060265747/'US$'!B259</f>
        <v>1.833549510985301</v>
      </c>
      <c r="D71" s="45">
        <f>13.598115703/'US$'!B259</f>
        <v>3.531427752298343</v>
      </c>
      <c r="E71" s="45">
        <f>0.547390503/'US$'!B259</f>
        <v>0.14215719706019841</v>
      </c>
      <c r="F71" s="45">
        <f>0.016009814/'US$'!B259</f>
        <v>0.0041577452864488655</v>
      </c>
      <c r="G71" s="45">
        <f>1.118974791/'US$'!B259</f>
        <v>0.2905975149327378</v>
      </c>
      <c r="H71" s="45">
        <f>80.583840464/'US$'!B259</f>
        <v>20.92760620786371</v>
      </c>
      <c r="I71" s="45">
        <f>21.28900677/'US$'!B259</f>
        <v>5.52875052459357</v>
      </c>
      <c r="J71" s="45">
        <f>1.440813359/'US$'!B259</f>
        <v>0.37417892250558354</v>
      </c>
      <c r="K71" s="29">
        <f>0.013054288/'US$'!B259</f>
        <v>0.003390195813639433</v>
      </c>
      <c r="L71" s="45">
        <f>5.74582395/'US$'!B259</f>
        <v>1.49218925621981</v>
      </c>
      <c r="M71" s="45">
        <f>0/'US$'!B259</f>
        <v>0</v>
      </c>
      <c r="N71" s="45">
        <f>8.491462508/'US$'!B259</f>
        <v>2.2052310050381756</v>
      </c>
      <c r="O71" s="45">
        <f>427.513432135/'US$'!B259</f>
        <v>111.02514728483872</v>
      </c>
      <c r="P71" s="45">
        <f>0.000000004/'US$'!B259</f>
        <v>1.0387991481846985E-09</v>
      </c>
      <c r="Q71" s="45">
        <f>0.77261321/'US$'!B259</f>
        <v>0.2006474861060614</v>
      </c>
      <c r="R71" s="45">
        <f>1.013497221/'US$'!B259</f>
        <v>0.26320501246558975</v>
      </c>
      <c r="S71" s="45">
        <f>1.319000045/'US$'!B259</f>
        <v>0.3425440308003947</v>
      </c>
      <c r="T71" s="45">
        <f>47.831484401/'US$'!B259</f>
        <v>12.421826313042123</v>
      </c>
      <c r="U71" s="45">
        <f>113.287358434/'US$'!B259</f>
        <v>29.420702860333453</v>
      </c>
      <c r="V71" s="45">
        <f>54.128012393/'US$'!B259</f>
        <v>14.0570332916948</v>
      </c>
      <c r="W71" s="45">
        <f>46.234356866/'US$'!B259</f>
        <v>12.007052632317041</v>
      </c>
      <c r="X71" s="45">
        <f>4.759763747/'US$'!B259</f>
        <v>1.2361096314860023</v>
      </c>
      <c r="Y71" s="45">
        <f>543.779045511/'US$'!B259</f>
        <v>141.2193023193788</v>
      </c>
      <c r="Z71" s="45">
        <f>314.684465511/'US$'!B259</f>
        <v>81.72348867994597</v>
      </c>
      <c r="AA71" s="45">
        <f>0/'US$'!B259</f>
        <v>0</v>
      </c>
      <c r="AB71" s="45">
        <f>28.34281279/'US$'!B259</f>
        <v>7.360622445852594</v>
      </c>
      <c r="AC71" s="45">
        <f>6.994862247/'US$'!B259</f>
        <v>1.8165642359632266</v>
      </c>
      <c r="AD71" s="45">
        <f>6.228286268/'US$'!B259</f>
        <v>1.6174846174622135</v>
      </c>
      <c r="AE71" s="45">
        <f>25.170091736/'US$'!B259</f>
        <v>6.53666746377188</v>
      </c>
      <c r="AF71" s="45">
        <f>9.19640724/'US$'!B259</f>
        <v>2.388305001817898</v>
      </c>
    </row>
    <row r="72" spans="1:32" ht="12.75">
      <c r="A72" s="28">
        <v>42339</v>
      </c>
      <c r="B72" s="29">
        <f>(414.295138366+3.218719789+4.20097577)/'US$'!B260</f>
        <v>107.99908674580004</v>
      </c>
      <c r="C72" s="45">
        <f>5.329534799/'US$'!B260</f>
        <v>1.3648675473775866</v>
      </c>
      <c r="D72" s="45">
        <f>12.176630703/'US$'!B260</f>
        <v>3.1183750007682853</v>
      </c>
      <c r="E72" s="45">
        <f>0.542336364/'US$'!B260</f>
        <v>0.13888966502765826</v>
      </c>
      <c r="F72" s="45">
        <f>0.016097445/'US$'!B260</f>
        <v>0.004122476183159188</v>
      </c>
      <c r="G72" s="45">
        <f>1.903623435/'US$'!B260</f>
        <v>0.4875085625384143</v>
      </c>
      <c r="H72" s="45">
        <f>78.059179762/'US$'!B260</f>
        <v>19.990570518848596</v>
      </c>
      <c r="I72" s="45">
        <f>22.452257258/'US$'!B260</f>
        <v>5.749912225466093</v>
      </c>
      <c r="J72" s="45">
        <f>0.410539353/'US$'!B260</f>
        <v>0.10513710125998771</v>
      </c>
      <c r="K72" s="29">
        <f>1.531166759/'US$'!B260</f>
        <v>0.39212424682442126</v>
      </c>
      <c r="L72" s="45">
        <f>5.803084941/'US$'!B260</f>
        <v>1.4861414005838967</v>
      </c>
      <c r="M72" s="45">
        <f>0/'US$'!B260</f>
        <v>0</v>
      </c>
      <c r="N72" s="45">
        <f>8.63779833/'US$'!B260</f>
        <v>2.212097503073141</v>
      </c>
      <c r="O72" s="45">
        <f>420.165514047/'US$'!B260</f>
        <v>107.60231357483097</v>
      </c>
      <c r="P72" s="45">
        <f>((37085987+310872001))/1000000000/'US$'!B260</f>
        <v>0.08911032267977874</v>
      </c>
      <c r="Q72" s="45">
        <f>0.317386184/'US$'!B260</f>
        <v>0.08128103462405245</v>
      </c>
      <c r="R72" s="45">
        <f>2.821800848/'US$'!B260</f>
        <v>0.7226492644949806</v>
      </c>
      <c r="S72" s="45">
        <f>1.083756531/'US$'!B260</f>
        <v>0.2775446965273509</v>
      </c>
      <c r="T72" s="45">
        <f>46.312319786/'US$'!B260</f>
        <v>11.860356429522641</v>
      </c>
      <c r="U72" s="45">
        <f>69.799358644/'US$'!B260</f>
        <v>17.87527111350133</v>
      </c>
      <c r="V72" s="45">
        <f>51.262942577/'US$'!B260</f>
        <v>13.128186482534316</v>
      </c>
      <c r="W72" s="45">
        <f>53.028760996/'US$'!B260</f>
        <v>13.580403860889163</v>
      </c>
      <c r="X72" s="45">
        <f>5.355980787/'US$'!B260</f>
        <v>1.3716402343269822</v>
      </c>
      <c r="Y72" s="45">
        <f>377.093103948/'US$'!B260</f>
        <v>96.57168201905348</v>
      </c>
      <c r="Z72" s="45">
        <f>284.23487612/'US$'!B260</f>
        <v>72.79114836099161</v>
      </c>
      <c r="AA72" s="45">
        <f>0/'US$'!B260</f>
        <v>0</v>
      </c>
      <c r="AB72" s="45">
        <f>29.371771621/'US$'!B260</f>
        <v>7.521965688639623</v>
      </c>
      <c r="AC72" s="45">
        <f>10.295798681/'US$'!B260</f>
        <v>2.6367032065662777</v>
      </c>
      <c r="AD72" s="45">
        <f>6.472026981/'US$'!B260</f>
        <v>1.6574541541180086</v>
      </c>
      <c r="AE72" s="45">
        <f>22.054408712/'US$'!B260</f>
        <v>5.648025177217784</v>
      </c>
      <c r="AF72" s="45">
        <f>6.231615048/'US$'!B260</f>
        <v>1.5958858451137063</v>
      </c>
    </row>
    <row r="73" spans="1:32" ht="12.75">
      <c r="A73" s="28">
        <v>42370</v>
      </c>
      <c r="B73" s="29">
        <f>(378.19435089+3.08020721+3.616989151)/'US$'!B261</f>
        <v>95.20420185292373</v>
      </c>
      <c r="C73" s="45">
        <f>6.623983237/'US$'!B261</f>
        <v>1.6384642418620758</v>
      </c>
      <c r="D73" s="45">
        <f>11.79535498/'US$'!B261</f>
        <v>2.917620208766202</v>
      </c>
      <c r="E73" s="45">
        <f>0.463910488/'US$'!B261</f>
        <v>0.11474979914910459</v>
      </c>
      <c r="F73" s="45">
        <f>0.016267267/'US$'!B261</f>
        <v>0.004023762491342633</v>
      </c>
      <c r="G73" s="45">
        <f>1.024776374/'US$'!B261</f>
        <v>0.25348183783516376</v>
      </c>
      <c r="H73" s="45">
        <f>82.637588697/'US$'!B261</f>
        <v>20.440681878153757</v>
      </c>
      <c r="I73" s="45">
        <f>22.307631156/'US$'!B261</f>
        <v>5.5178666162065895</v>
      </c>
      <c r="J73" s="45">
        <f>1.434080881/'US$'!B261</f>
        <v>0.3547246663203721</v>
      </c>
      <c r="K73" s="29">
        <f>0.013016416/'US$'!B261</f>
        <v>0.0032196537053527257</v>
      </c>
      <c r="L73" s="45">
        <f>6.023199223/'US$'!B261</f>
        <v>1.4898583217077273</v>
      </c>
      <c r="M73" s="45">
        <f>0/'US$'!B261</f>
        <v>0</v>
      </c>
      <c r="N73" s="45">
        <f>8.756211909/'US$'!B261</f>
        <v>2.1658780817750074</v>
      </c>
      <c r="O73" s="45">
        <f>420.489311651/'US$'!B261</f>
        <v>104.00942704338577</v>
      </c>
      <c r="P73" s="45">
        <f>0.027771705/'US$'!B261</f>
        <v>0.006869423419412289</v>
      </c>
      <c r="Q73" s="45">
        <f>0.247463856/'US$'!B261</f>
        <v>0.06121100623330366</v>
      </c>
      <c r="R73" s="45">
        <f>0.776955353/'US$'!B261</f>
        <v>0.19218248565350748</v>
      </c>
      <c r="S73" s="45">
        <f>0.766230199/'US$'!B261</f>
        <v>0.18952958320965668</v>
      </c>
      <c r="T73" s="45">
        <f>15.591886006/'US$'!B261</f>
        <v>3.856704760561987</v>
      </c>
      <c r="U73" s="45">
        <f>108.060081104/'US$'!B261</f>
        <v>26.72901976451964</v>
      </c>
      <c r="V73" s="45">
        <f>51.562807047/'US$'!B261</f>
        <v>12.754231484861977</v>
      </c>
      <c r="W73" s="45">
        <f>53.290582176/'US$'!B261</f>
        <v>13.181602398337787</v>
      </c>
      <c r="X73" s="45">
        <f>5.646840609/'US$'!B261</f>
        <v>1.396764769219353</v>
      </c>
      <c r="Y73" s="45">
        <f>351.859150352/'US$'!B261</f>
        <v>87.03352882952409</v>
      </c>
      <c r="Z73" s="45">
        <f>331.913274013/'US$'!B261</f>
        <v>82.09985010710399</v>
      </c>
      <c r="AA73" s="45">
        <f>0/'US$'!B261</f>
        <v>0</v>
      </c>
      <c r="AB73" s="45">
        <f>29.434568294/'US$'!B261</f>
        <v>7.28073817502721</v>
      </c>
      <c r="AC73" s="45">
        <f>8.306749864/'US$'!B261</f>
        <v>2.054702152963293</v>
      </c>
      <c r="AD73" s="45">
        <f>5.831366414/'US$'!B261</f>
        <v>1.4424078396161077</v>
      </c>
      <c r="AE73" s="45">
        <f>29.809047777/'US$'!B261</f>
        <v>7.373366918224993</v>
      </c>
      <c r="AF73" s="45">
        <f>7.495929757/'US$'!B261</f>
        <v>1.8541431079944595</v>
      </c>
    </row>
    <row r="74" spans="1:32" ht="12.75">
      <c r="A74" s="28">
        <v>42401</v>
      </c>
      <c r="B74" s="29">
        <f>(408.336622296+2.686192927+3.396888905)/'US$'!B262</f>
        <v>104.13601973263644</v>
      </c>
      <c r="C74" s="45">
        <f>7.10149286/'US$'!B262</f>
        <v>1.7844740325660868</v>
      </c>
      <c r="D74" s="45">
        <f>10.887463607/'US$'!B262</f>
        <v>2.7358185764900997</v>
      </c>
      <c r="E74" s="45">
        <f>0.478209076/'US$'!B262</f>
        <v>0.12016511106643885</v>
      </c>
      <c r="F74" s="45">
        <f>0.070361343/'US$'!B262</f>
        <v>0.017680506332294704</v>
      </c>
      <c r="G74" s="45">
        <f>1.004106887/'US$'!B262</f>
        <v>0.2523135207055986</v>
      </c>
      <c r="H74" s="45">
        <f>81.164378796/'US$'!B262</f>
        <v>20.395109758769724</v>
      </c>
      <c r="I74" s="45">
        <f>23.952566355/'US$'!B262</f>
        <v>6.018837660820182</v>
      </c>
      <c r="J74" s="45">
        <f>1.427704361/'US$'!B262</f>
        <v>0.35875574454719067</v>
      </c>
      <c r="K74" s="29">
        <f>0.014782565/'US$'!B262</f>
        <v>0.0037145856367474116</v>
      </c>
      <c r="L74" s="45">
        <f>6.08992797/'US$'!B262</f>
        <v>1.5302864534124032</v>
      </c>
      <c r="M74" s="45">
        <f>0/'US$'!B262</f>
        <v>0</v>
      </c>
      <c r="N74" s="45">
        <f>8.773481314/'US$'!B262</f>
        <v>2.204613859181827</v>
      </c>
      <c r="O74" s="45">
        <f>411.029914874/'US$'!B262</f>
        <v>103.28422828274198</v>
      </c>
      <c r="P74" s="45">
        <f>0.018497038/'US$'!B262</f>
        <v>0.004647964116996683</v>
      </c>
      <c r="Q74" s="45">
        <f>0.145480533/'US$'!B262</f>
        <v>0.03655657176600663</v>
      </c>
      <c r="R74" s="45">
        <f>0.769815618/'US$'!B262</f>
        <v>0.19344045079907526</v>
      </c>
      <c r="S74" s="45">
        <f>1.19329312/'US$'!B262</f>
        <v>0.2998525278922505</v>
      </c>
      <c r="T74" s="45">
        <f>12.455647985/'US$'!B262</f>
        <v>3.1298743554628605</v>
      </c>
      <c r="U74" s="45">
        <f>98.779359762/'US$'!B262</f>
        <v>24.82142922957081</v>
      </c>
      <c r="V74" s="45">
        <f>49.185618617/'US$'!B262</f>
        <v>12.359437786963515</v>
      </c>
      <c r="W74" s="45">
        <f>59.888849406/'US$'!B262</f>
        <v>15.048962057995778</v>
      </c>
      <c r="X74" s="45">
        <f>8.236481701/'US$'!B262</f>
        <v>2.069675771685597</v>
      </c>
      <c r="Y74" s="45">
        <f>362.772576062/'US$'!B262</f>
        <v>91.15805007086139</v>
      </c>
      <c r="Z74" s="45">
        <f>297.642292736/'US$'!B262</f>
        <v>74.79201244748216</v>
      </c>
      <c r="AA74" s="45">
        <f>0/'US$'!B262</f>
        <v>0</v>
      </c>
      <c r="AB74" s="45">
        <f>28.889624464/'US$'!B262</f>
        <v>7.259429204945221</v>
      </c>
      <c r="AC74" s="45">
        <f>9.78466646/'US$'!B262</f>
        <v>2.458706015679968</v>
      </c>
      <c r="AD74" s="45">
        <f>7.595142287/'US$'!B262</f>
        <v>1.9085190187456025</v>
      </c>
      <c r="AE74" s="45">
        <f>11.460617669/'US$'!B262</f>
        <v>2.8798416094582366</v>
      </c>
      <c r="AF74" s="45">
        <f>6.111812556/'US$'!B262</f>
        <v>1.5357856457935473</v>
      </c>
    </row>
    <row r="75" spans="1:32" ht="12.75">
      <c r="A75" s="28">
        <v>42430</v>
      </c>
      <c r="B75" s="29">
        <f>(476.005762673+2.830665011+3.255716431)/'US$'!B263</f>
        <v>135.46099753154064</v>
      </c>
      <c r="C75" s="45">
        <f>10.029244244/'US$'!B263</f>
        <v>2.818074192587597</v>
      </c>
      <c r="D75" s="45">
        <f>9.965488931/'US$'!B263</f>
        <v>2.800159861474051</v>
      </c>
      <c r="E75" s="45">
        <f>0.492470734/'US$'!B263</f>
        <v>0.1383772328528478</v>
      </c>
      <c r="F75" s="45">
        <f>0.071137289/'US$'!B263</f>
        <v>0.019988560791255727</v>
      </c>
      <c r="G75" s="45">
        <f>0.944373112/'US$'!B263</f>
        <v>0.26535533788530163</v>
      </c>
      <c r="H75" s="45">
        <f>82.461079542/'US$'!B263</f>
        <v>23.170383978757478</v>
      </c>
      <c r="I75" s="45">
        <f>22.284121938/'US$'!B263</f>
        <v>6.26151955323274</v>
      </c>
      <c r="J75" s="45">
        <f>1.280459609/'US$'!B263</f>
        <v>0.35979083677540813</v>
      </c>
      <c r="K75" s="29">
        <f>0.105905158/'US$'!B263</f>
        <v>0.029757834724212538</v>
      </c>
      <c r="L75" s="45">
        <f>6.093579895/'US$'!B263</f>
        <v>1.7122087990671275</v>
      </c>
      <c r="M75" s="45">
        <f>0/'US$'!B263</f>
        <v>0</v>
      </c>
      <c r="N75" s="45">
        <f>8.96129096/'US$'!B263</f>
        <v>2.5179945938351738</v>
      </c>
      <c r="O75" s="45">
        <f>412.550921892/'US$'!B263</f>
        <v>115.92090867740033</v>
      </c>
      <c r="P75" s="45">
        <f>0.00924552/'US$'!B263</f>
        <v>0.002597858888982551</v>
      </c>
      <c r="Q75" s="45">
        <f>0.251566969/'US$'!B263</f>
        <v>0.07068672033493495</v>
      </c>
      <c r="R75" s="45">
        <f>1.427493199/'US$'!B263</f>
        <v>0.40110517266571133</v>
      </c>
      <c r="S75" s="45">
        <f>0.944107424/'US$'!B263</f>
        <v>0.2652806833572171</v>
      </c>
      <c r="T75" s="45">
        <f>17.539372713/'US$'!B263</f>
        <v>4.928312881227345</v>
      </c>
      <c r="U75" s="45">
        <f>94.785697924/'US$'!B263</f>
        <v>26.63342547528731</v>
      </c>
      <c r="V75" s="45">
        <f>57.351895764/'US$'!B263</f>
        <v>16.11506245300514</v>
      </c>
      <c r="W75" s="45">
        <f>60.243168709/'US$'!B263</f>
        <v>16.927468799067128</v>
      </c>
      <c r="X75" s="45">
        <f>12.315738155/'US$'!B263</f>
        <v>3.460546279749361</v>
      </c>
      <c r="Y75" s="45">
        <f>360.312887321/'US$'!B263</f>
        <v>101.24276808030571</v>
      </c>
      <c r="Z75" s="45">
        <f>327.835233544/'US$'!B263</f>
        <v>92.11701186995982</v>
      </c>
      <c r="AA75" s="45">
        <f>0/'US$'!B263</f>
        <v>0</v>
      </c>
      <c r="AB75" s="45">
        <f>33.371985049/'US$'!B263</f>
        <v>9.3770505068982</v>
      </c>
      <c r="AC75" s="45">
        <f>8.201929322/'US$'!B263</f>
        <v>2.3046248340779454</v>
      </c>
      <c r="AD75" s="45">
        <f>7.406426462/'US$'!B263</f>
        <v>2.081099907836691</v>
      </c>
      <c r="AE75" s="45">
        <f>14.835155406/'US$'!B263</f>
        <v>4.168466494141448</v>
      </c>
      <c r="AF75" s="45">
        <f>7.053853017/'US$'!B263</f>
        <v>1.982031812357751</v>
      </c>
    </row>
    <row r="76" spans="1:32" ht="12.75">
      <c r="A76" s="28">
        <v>42461</v>
      </c>
      <c r="B76" s="29">
        <f>(509.963481541+2.96255512+3.556286578)/'US$'!B264</f>
        <v>149.67031506867974</v>
      </c>
      <c r="C76" s="45">
        <f>9.952172705/'US$'!B264</f>
        <v>2.88401898255477</v>
      </c>
      <c r="D76" s="45">
        <f>9.410377395/'US$'!B264</f>
        <v>2.727013270835748</v>
      </c>
      <c r="E76" s="45">
        <f>0.470378809/'US$'!B264</f>
        <v>0.13631007563463546</v>
      </c>
      <c r="F76" s="45">
        <f>0.071875855/'US$'!B264</f>
        <v>0.020828751304045438</v>
      </c>
      <c r="G76" s="45">
        <f>0.591757639/'US$'!B264</f>
        <v>0.1714841888837371</v>
      </c>
      <c r="H76" s="45">
        <f>83.177722289/'US$'!B264</f>
        <v>24.103895412368146</v>
      </c>
      <c r="I76" s="45">
        <f>22.044833455/'US$'!B264</f>
        <v>6.388325447722267</v>
      </c>
      <c r="J76" s="45">
        <f>1.362126365/'US$'!B264</f>
        <v>0.39472770516981565</v>
      </c>
      <c r="K76" s="29">
        <f>0.013053771/'US$'!B264</f>
        <v>0.0037828245624203084</v>
      </c>
      <c r="L76" s="45">
        <f>6.109978819/'US$'!B264</f>
        <v>1.7705977799350876</v>
      </c>
      <c r="M76" s="45">
        <f>0/'US$'!B264</f>
        <v>0</v>
      </c>
      <c r="N76" s="45">
        <f>8.990316573/'US$'!B264</f>
        <v>2.6052847377419726</v>
      </c>
      <c r="O76" s="45">
        <f>423.32171381/'US$'!B264</f>
        <v>122.67350000289788</v>
      </c>
      <c r="P76" s="45">
        <f>0.161514323/'US$'!B264</f>
        <v>0.04680489248869827</v>
      </c>
      <c r="Q76" s="45">
        <f>0.164797841/'US$'!B264</f>
        <v>0.04775641619334647</v>
      </c>
      <c r="R76" s="45">
        <f>0.815202073/'US$'!B264</f>
        <v>0.23623567665468878</v>
      </c>
      <c r="S76" s="45">
        <f>1.189806522/'US$'!B264</f>
        <v>0.34479150399907266</v>
      </c>
      <c r="T76" s="45">
        <f>18.030305715/'US$'!B264</f>
        <v>5.224963983713922</v>
      </c>
      <c r="U76" s="45">
        <f>92.86489484/'US$'!B264</f>
        <v>26.91112056334763</v>
      </c>
      <c r="V76" s="45">
        <f>46.83547737/'US$'!B264</f>
        <v>13.572353474556625</v>
      </c>
      <c r="W76" s="45">
        <f>50.872103559/'US$'!B264</f>
        <v>14.74211880114756</v>
      </c>
      <c r="X76" s="45">
        <f>6.779000051/'US$'!B264</f>
        <v>1.9644720212704299</v>
      </c>
      <c r="Y76" s="45">
        <f>396.060093093/'US$'!B264</f>
        <v>114.77341285875738</v>
      </c>
      <c r="Z76" s="45">
        <f>350.982889739/'US$'!B264</f>
        <v>101.71058587544915</v>
      </c>
      <c r="AA76" s="45">
        <f>0/'US$'!B264</f>
        <v>0</v>
      </c>
      <c r="AB76" s="45">
        <f>30.211493409/'US$'!B264</f>
        <v>8.754924483887793</v>
      </c>
      <c r="AC76" s="45">
        <f>7.410619516/'US$'!B264</f>
        <v>2.1475076840153005</v>
      </c>
      <c r="AD76" s="45">
        <f>8.754849381/'US$'!B264</f>
        <v>2.537049200475252</v>
      </c>
      <c r="AE76" s="45">
        <f>13.353261112/'US$'!B264</f>
        <v>3.8696131656427495</v>
      </c>
      <c r="AF76" s="45">
        <f>8.74177545/'US$'!B264</f>
        <v>2.5332605337892664</v>
      </c>
    </row>
    <row r="77" spans="1:32" ht="12.75">
      <c r="A77" s="28">
        <v>42491</v>
      </c>
      <c r="B77" s="29">
        <f>(498.776994235+2.730907749+3.577018117)/'US$'!B265</f>
        <v>140.49259272370728</v>
      </c>
      <c r="C77" s="45">
        <f>9.633915636/'US$'!B265</f>
        <v>2.679735093877778</v>
      </c>
      <c r="D77" s="45">
        <f>7.684686861/'US$'!B265</f>
        <v>2.137544674974271</v>
      </c>
      <c r="E77" s="45">
        <f>0.450099142/'US$'!B265</f>
        <v>0.12519794776223192</v>
      </c>
      <c r="F77" s="45">
        <f>0.055677468/'US$'!B265</f>
        <v>0.01548704291952936</v>
      </c>
      <c r="G77" s="45">
        <f>1.445896418/'US$'!B265</f>
        <v>0.40218531278684877</v>
      </c>
      <c r="H77" s="45">
        <f>90.680302574/'US$'!B265</f>
        <v>25.223304657450416</v>
      </c>
      <c r="I77" s="45">
        <f>22.763404639/'US$'!B265</f>
        <v>6.331786219854803</v>
      </c>
      <c r="J77" s="45">
        <f>1.602993732/'US$'!B265</f>
        <v>0.44588293288086567</v>
      </c>
      <c r="K77" s="29">
        <f>0.013369225/'US$'!B265</f>
        <v>0.003718735222942338</v>
      </c>
      <c r="L77" s="45">
        <f>6.175823545/'US$'!B265</f>
        <v>1.717844717810353</v>
      </c>
      <c r="M77" s="45">
        <f>0/'US$'!B265</f>
        <v>0</v>
      </c>
      <c r="N77" s="45">
        <f>9.056618206/'US$'!B265</f>
        <v>2.519156130844761</v>
      </c>
      <c r="O77" s="45">
        <f>408.13695393/'US$'!B265</f>
        <v>113.52589745208756</v>
      </c>
      <c r="P77" s="45">
        <f>0/'US$'!B265</f>
        <v>0</v>
      </c>
      <c r="Q77" s="45">
        <f>0.063653677/'US$'!B265</f>
        <v>0.017705676337236798</v>
      </c>
      <c r="R77" s="45">
        <f>0.972407635/'US$'!B265</f>
        <v>0.2704813871658647</v>
      </c>
      <c r="S77" s="45">
        <f>0.724423761/'US$'!B265</f>
        <v>0.2015030905955328</v>
      </c>
      <c r="T77" s="45">
        <f>17.060764927/'US$'!B265</f>
        <v>4.7455606038775</v>
      </c>
      <c r="U77" s="45">
        <f>99.006027606/'US$'!B265</f>
        <v>27.53915818920197</v>
      </c>
      <c r="V77" s="45">
        <f>53.285176541/'US$'!B265</f>
        <v>14.82161178854552</v>
      </c>
      <c r="W77" s="45">
        <f>50.368670022/'US$'!B265</f>
        <v>14.010366894384024</v>
      </c>
      <c r="X77" s="45">
        <f>7.154098852/'US$'!B265</f>
        <v>1.9899582353759282</v>
      </c>
      <c r="Y77" s="45">
        <f>474.998320138/'US$'!B265</f>
        <v>132.123813006036</v>
      </c>
      <c r="Z77" s="45">
        <f>384.470246608/'US$'!B265</f>
        <v>106.94285182832189</v>
      </c>
      <c r="AA77" s="45">
        <f>0/'US$'!B265</f>
        <v>0</v>
      </c>
      <c r="AB77" s="45">
        <f>32.223644143/'US$'!B265</f>
        <v>8.96321218964702</v>
      </c>
      <c r="AC77" s="45">
        <f>3.851519501/'US$'!B265</f>
        <v>1.071324720035604</v>
      </c>
      <c r="AD77" s="45">
        <f>6.43432794/'US$'!B265</f>
        <v>1.789749364412673</v>
      </c>
      <c r="AE77" s="45">
        <f>13.09403705/'US$'!B265</f>
        <v>3.642189939083753</v>
      </c>
      <c r="AF77" s="45">
        <f>6.555652869/'US$'!B265</f>
        <v>1.823496667408417</v>
      </c>
    </row>
    <row r="78" spans="1:32" ht="12.75">
      <c r="A78" s="28">
        <v>42522</v>
      </c>
      <c r="B78" s="29">
        <f>(510.257188236+2.911693644+4.074602007)/'US$'!B266</f>
        <v>161.14508190136453</v>
      </c>
      <c r="C78" s="45">
        <f>9.930456146/'US$'!B266</f>
        <v>3.0937928051592</v>
      </c>
      <c r="D78" s="45">
        <f>10.361208497/'US$'!B266</f>
        <v>3.2279919300267927</v>
      </c>
      <c r="E78" s="45">
        <f>0.438644593/'US$'!B266</f>
        <v>0.13665792043117952</v>
      </c>
      <c r="F78" s="45">
        <f>0.096763166/'US$'!B266</f>
        <v>0.030146166739360707</v>
      </c>
      <c r="G78" s="45">
        <f>1.1638221/'US$'!B266</f>
        <v>0.3625839927721353</v>
      </c>
      <c r="H78" s="45">
        <f>85.441963307/'US$'!B266</f>
        <v>26.61909256246495</v>
      </c>
      <c r="I78" s="45">
        <f>24.540948934/'US$'!B266</f>
        <v>7.645631794504331</v>
      </c>
      <c r="J78" s="45">
        <f>1.657485124/'US$'!B266</f>
        <v>0.5163826792946601</v>
      </c>
      <c r="K78" s="29">
        <f>0.012897099/'US$'!B266</f>
        <v>0.004018038195526201</v>
      </c>
      <c r="L78" s="45">
        <f>3.401113802/'US$'!B266</f>
        <v>1.0596030288491494</v>
      </c>
      <c r="M78" s="45">
        <f>0/'US$'!B266</f>
        <v>0</v>
      </c>
      <c r="N78" s="45">
        <f>9.138391083/'US$'!B266</f>
        <v>2.8470281896068292</v>
      </c>
      <c r="O78" s="45">
        <f>425.357802472/'US$'!B266</f>
        <v>132.51847544146054</v>
      </c>
      <c r="P78" s="45">
        <f>(0)/'US$'!B266</f>
        <v>0</v>
      </c>
      <c r="Q78" s="45">
        <f>0.029368753/'US$'!B266</f>
        <v>0.00914971431241822</v>
      </c>
      <c r="R78" s="45">
        <f>1.188060567/'US$'!B266</f>
        <v>0.37013538756308806</v>
      </c>
      <c r="S78" s="45">
        <f>0.804273469/'US$'!B266</f>
        <v>0.2505680942737865</v>
      </c>
      <c r="T78" s="45">
        <f>16.512106815/'US$'!B266</f>
        <v>5.144279025172907</v>
      </c>
      <c r="U78" s="45">
        <f>90.951262504/'US$'!B266</f>
        <v>28.33549208798056</v>
      </c>
      <c r="V78" s="45">
        <f>43.378179563/'US$'!B266</f>
        <v>13.514293589320207</v>
      </c>
      <c r="W78" s="45">
        <f>47.779224825/'US$'!B266</f>
        <v>14.885421155523709</v>
      </c>
      <c r="X78" s="45">
        <f>8.760858968/'US$'!B266</f>
        <v>2.729409610567637</v>
      </c>
      <c r="Y78" s="45">
        <f>492.579736088/'US$'!B266</f>
        <v>153.4611926250857</v>
      </c>
      <c r="Z78" s="45">
        <f>343.599497795/'US$'!B266</f>
        <v>107.0470115879494</v>
      </c>
      <c r="AA78" s="45">
        <f>0.000704675/'US$'!B266</f>
        <v>0.00021953860053585894</v>
      </c>
      <c r="AB78" s="45">
        <f>29.859530709/'US$'!B266</f>
        <v>9.302614090909092</v>
      </c>
      <c r="AC78" s="45">
        <f>4.437731666/'US$'!B266</f>
        <v>1.382557064614618</v>
      </c>
      <c r="AD78" s="45">
        <f>5.67453357/'US$'!B266</f>
        <v>1.7678776154277527</v>
      </c>
      <c r="AE78" s="45">
        <f>16.016837408/'US$'!B266</f>
        <v>4.989979876627827</v>
      </c>
      <c r="AF78" s="45">
        <f>7.764096324/'US$'!B266</f>
        <v>2.4188723048164995</v>
      </c>
    </row>
  </sheetData>
  <sheetProtection/>
  <conditionalFormatting sqref="A13:A78">
    <cfRule type="cellIs" priority="8030" dxfId="0" operator="greaterThan" stopIfTrue="1">
      <formula>"hoje()"</formula>
    </cfRule>
  </conditionalFormatting>
  <conditionalFormatting sqref="A57">
    <cfRule type="cellIs" priority="839" dxfId="0" operator="greaterThan" stopIfTrue="1">
      <formula>"hoje()"</formula>
    </cfRule>
  </conditionalFormatting>
  <conditionalFormatting sqref="A58">
    <cfRule type="cellIs" priority="838" dxfId="0" operator="greaterThan" stopIfTrue="1">
      <formula>"hoje()"</formula>
    </cfRule>
  </conditionalFormatting>
  <conditionalFormatting sqref="A58">
    <cfRule type="cellIs" priority="837" dxfId="0" operator="greaterThan" stopIfTrue="1">
      <formula>"hoje()"</formula>
    </cfRule>
  </conditionalFormatting>
  <conditionalFormatting sqref="A59:A60">
    <cfRule type="cellIs" priority="836" dxfId="0" operator="greaterThan" stopIfTrue="1">
      <formula>"hoje()"</formula>
    </cfRule>
  </conditionalFormatting>
  <conditionalFormatting sqref="A59:A60">
    <cfRule type="cellIs" priority="835" dxfId="0" operator="greaterThan" stopIfTrue="1">
      <formula>"hoje()"</formula>
    </cfRule>
  </conditionalFormatting>
  <conditionalFormatting sqref="A59:A60">
    <cfRule type="cellIs" priority="834" dxfId="0" operator="greaterThan" stopIfTrue="1">
      <formula>"hoje()"</formula>
    </cfRule>
  </conditionalFormatting>
  <conditionalFormatting sqref="A61 A63:A71 A73:A78">
    <cfRule type="cellIs" priority="833" dxfId="0" operator="greaterThan" stopIfTrue="1">
      <formula>"hoje()"</formula>
    </cfRule>
  </conditionalFormatting>
  <conditionalFormatting sqref="A61 A63:A71 A73:A78">
    <cfRule type="cellIs" priority="832" dxfId="0" operator="greaterThan" stopIfTrue="1">
      <formula>"hoje()"</formula>
    </cfRule>
  </conditionalFormatting>
  <conditionalFormatting sqref="A61 A63:A71 A73:A78">
    <cfRule type="cellIs" priority="831" dxfId="0" operator="greaterThan" stopIfTrue="1">
      <formula>"hoje()"</formula>
    </cfRule>
  </conditionalFormatting>
  <conditionalFormatting sqref="A61 A63:A71 A73:A78">
    <cfRule type="cellIs" priority="830" dxfId="0" operator="greaterThan" stopIfTrue="1">
      <formula>"hoje()"</formula>
    </cfRule>
  </conditionalFormatting>
  <conditionalFormatting sqref="A62 A72">
    <cfRule type="cellIs" priority="829" dxfId="0" operator="greaterThan" stopIfTrue="1">
      <formula>"hoje()"</formula>
    </cfRule>
  </conditionalFormatting>
  <conditionalFormatting sqref="A62 A72">
    <cfRule type="cellIs" priority="828" dxfId="0" operator="greaterThan" stopIfTrue="1">
      <formula>"hoje()"</formula>
    </cfRule>
  </conditionalFormatting>
  <conditionalFormatting sqref="A62 A72">
    <cfRule type="cellIs" priority="827" dxfId="0" operator="greaterThan" stopIfTrue="1">
      <formula>"hoje()"</formula>
    </cfRule>
  </conditionalFormatting>
  <conditionalFormatting sqref="A62 A72">
    <cfRule type="cellIs" priority="826" dxfId="0" operator="greaterThan" stopIfTrue="1">
      <formula>"hoje()"</formula>
    </cfRule>
  </conditionalFormatting>
  <conditionalFormatting sqref="A62 A72">
    <cfRule type="cellIs" priority="825" dxfId="0" operator="greaterThan" stopIfTrue="1">
      <formula>"hoje()"</formula>
    </cfRule>
  </conditionalFormatting>
  <conditionalFormatting sqref="A63">
    <cfRule type="cellIs" priority="824" dxfId="0" operator="greaterThan" stopIfTrue="1">
      <formula>"hoje()"</formula>
    </cfRule>
  </conditionalFormatting>
  <conditionalFormatting sqref="A63">
    <cfRule type="cellIs" priority="823" dxfId="0" operator="greaterThan" stopIfTrue="1">
      <formula>"hoje()"</formula>
    </cfRule>
  </conditionalFormatting>
  <conditionalFormatting sqref="A63">
    <cfRule type="cellIs" priority="822" dxfId="0" operator="greaterThan" stopIfTrue="1">
      <formula>"hoje()"</formula>
    </cfRule>
  </conditionalFormatting>
  <conditionalFormatting sqref="A63">
    <cfRule type="cellIs" priority="821" dxfId="0" operator="greaterThan" stopIfTrue="1">
      <formula>"hoje()"</formula>
    </cfRule>
  </conditionalFormatting>
  <conditionalFormatting sqref="A63">
    <cfRule type="cellIs" priority="820" dxfId="0" operator="greaterThan" stopIfTrue="1">
      <formula>"hoje()"</formula>
    </cfRule>
  </conditionalFormatting>
  <conditionalFormatting sqref="A63">
    <cfRule type="cellIs" priority="819" dxfId="0" operator="greaterThan" stopIfTrue="1">
      <formula>"hoje()"</formula>
    </cfRule>
  </conditionalFormatting>
  <conditionalFormatting sqref="A64">
    <cfRule type="cellIs" priority="818" dxfId="0" operator="greaterThan" stopIfTrue="1">
      <formula>"hoje()"</formula>
    </cfRule>
  </conditionalFormatting>
  <conditionalFormatting sqref="A64">
    <cfRule type="cellIs" priority="817" dxfId="0" operator="greaterThan" stopIfTrue="1">
      <formula>"hoje()"</formula>
    </cfRule>
  </conditionalFormatting>
  <conditionalFormatting sqref="A64">
    <cfRule type="cellIs" priority="816" dxfId="0" operator="greaterThan" stopIfTrue="1">
      <formula>"hoje()"</formula>
    </cfRule>
  </conditionalFormatting>
  <conditionalFormatting sqref="A64">
    <cfRule type="cellIs" priority="815" dxfId="0" operator="greaterThan" stopIfTrue="1">
      <formula>"hoje()"</formula>
    </cfRule>
  </conditionalFormatting>
  <conditionalFormatting sqref="A64">
    <cfRule type="cellIs" priority="814" dxfId="0" operator="greaterThan" stopIfTrue="1">
      <formula>"hoje()"</formula>
    </cfRule>
  </conditionalFormatting>
  <conditionalFormatting sqref="A64">
    <cfRule type="cellIs" priority="813" dxfId="0" operator="greaterThan" stopIfTrue="1">
      <formula>"hoje()"</formula>
    </cfRule>
  </conditionalFormatting>
  <conditionalFormatting sqref="A64">
    <cfRule type="cellIs" priority="812" dxfId="0" operator="greaterThan" stopIfTrue="1">
      <formula>"hoje()"</formula>
    </cfRule>
  </conditionalFormatting>
  <conditionalFormatting sqref="A64">
    <cfRule type="cellIs" priority="811" dxfId="0" operator="greaterThan" stopIfTrue="1">
      <formula>"hoje()"</formula>
    </cfRule>
  </conditionalFormatting>
  <conditionalFormatting sqref="A64">
    <cfRule type="cellIs" priority="810" dxfId="0" operator="greaterThan" stopIfTrue="1">
      <formula>"hoje()"</formula>
    </cfRule>
  </conditionalFormatting>
  <conditionalFormatting sqref="A64">
    <cfRule type="cellIs" priority="809" dxfId="0" operator="greaterThan" stopIfTrue="1">
      <formula>"hoje()"</formula>
    </cfRule>
  </conditionalFormatting>
  <conditionalFormatting sqref="A64">
    <cfRule type="cellIs" priority="808" dxfId="0" operator="greaterThan" stopIfTrue="1">
      <formula>"hoje()"</formula>
    </cfRule>
  </conditionalFormatting>
  <conditionalFormatting sqref="A65">
    <cfRule type="cellIs" priority="807" dxfId="0" operator="greaterThan" stopIfTrue="1">
      <formula>"hoje()"</formula>
    </cfRule>
  </conditionalFormatting>
  <conditionalFormatting sqref="A65">
    <cfRule type="cellIs" priority="806" dxfId="0" operator="greaterThan" stopIfTrue="1">
      <formula>"hoje()"</formula>
    </cfRule>
  </conditionalFormatting>
  <conditionalFormatting sqref="A65">
    <cfRule type="cellIs" priority="805" dxfId="0" operator="greaterThan" stopIfTrue="1">
      <formula>"hoje()"</formula>
    </cfRule>
  </conditionalFormatting>
  <conditionalFormatting sqref="A65">
    <cfRule type="cellIs" priority="804" dxfId="0" operator="greaterThan" stopIfTrue="1">
      <formula>"hoje()"</formula>
    </cfRule>
  </conditionalFormatting>
  <conditionalFormatting sqref="A65">
    <cfRule type="cellIs" priority="803" dxfId="0" operator="greaterThan" stopIfTrue="1">
      <formula>"hoje()"</formula>
    </cfRule>
  </conditionalFormatting>
  <conditionalFormatting sqref="A65">
    <cfRule type="cellIs" priority="802" dxfId="0" operator="greaterThan" stopIfTrue="1">
      <formula>"hoje()"</formula>
    </cfRule>
  </conditionalFormatting>
  <conditionalFormatting sqref="A65">
    <cfRule type="cellIs" priority="801" dxfId="0" operator="greaterThan" stopIfTrue="1">
      <formula>"hoje()"</formula>
    </cfRule>
  </conditionalFormatting>
  <conditionalFormatting sqref="A65">
    <cfRule type="cellIs" priority="800" dxfId="0" operator="greaterThan" stopIfTrue="1">
      <formula>"hoje()"</formula>
    </cfRule>
  </conditionalFormatting>
  <conditionalFormatting sqref="A65">
    <cfRule type="cellIs" priority="799" dxfId="0" operator="greaterThan" stopIfTrue="1">
      <formula>"hoje()"</formula>
    </cfRule>
  </conditionalFormatting>
  <conditionalFormatting sqref="A65">
    <cfRule type="cellIs" priority="798" dxfId="0" operator="greaterThan" stopIfTrue="1">
      <formula>"hoje()"</formula>
    </cfRule>
  </conditionalFormatting>
  <conditionalFormatting sqref="A65">
    <cfRule type="cellIs" priority="797" dxfId="0" operator="greaterThan" stopIfTrue="1">
      <formula>"hoje()"</formula>
    </cfRule>
  </conditionalFormatting>
  <conditionalFormatting sqref="A65">
    <cfRule type="cellIs" priority="796" dxfId="0" operator="greaterThan" stopIfTrue="1">
      <formula>"hoje()"</formula>
    </cfRule>
  </conditionalFormatting>
  <conditionalFormatting sqref="A65">
    <cfRule type="cellIs" priority="795" dxfId="0" operator="greaterThan" stopIfTrue="1">
      <formula>"hoje()"</formula>
    </cfRule>
  </conditionalFormatting>
  <conditionalFormatting sqref="A65">
    <cfRule type="cellIs" priority="794" dxfId="0" operator="greaterThan" stopIfTrue="1">
      <formula>"hoje()"</formula>
    </cfRule>
  </conditionalFormatting>
  <conditionalFormatting sqref="A65">
    <cfRule type="cellIs" priority="793" dxfId="0" operator="greaterThan" stopIfTrue="1">
      <formula>"hoje()"</formula>
    </cfRule>
  </conditionalFormatting>
  <conditionalFormatting sqref="A65">
    <cfRule type="cellIs" priority="792" dxfId="0" operator="greaterThan" stopIfTrue="1">
      <formula>"hoje()"</formula>
    </cfRule>
  </conditionalFormatting>
  <conditionalFormatting sqref="A66">
    <cfRule type="cellIs" priority="791" dxfId="0" operator="greaterThan" stopIfTrue="1">
      <formula>"hoje()"</formula>
    </cfRule>
  </conditionalFormatting>
  <conditionalFormatting sqref="A66">
    <cfRule type="cellIs" priority="790" dxfId="0" operator="greaterThan" stopIfTrue="1">
      <formula>"hoje()"</formula>
    </cfRule>
  </conditionalFormatting>
  <conditionalFormatting sqref="A66">
    <cfRule type="cellIs" priority="789" dxfId="0" operator="greaterThan" stopIfTrue="1">
      <formula>"hoje()"</formula>
    </cfRule>
  </conditionalFormatting>
  <conditionalFormatting sqref="A66">
    <cfRule type="cellIs" priority="788" dxfId="0" operator="greaterThan" stopIfTrue="1">
      <formula>"hoje()"</formula>
    </cfRule>
  </conditionalFormatting>
  <conditionalFormatting sqref="A66">
    <cfRule type="cellIs" priority="787" dxfId="0" operator="greaterThan" stopIfTrue="1">
      <formula>"hoje()"</formula>
    </cfRule>
  </conditionalFormatting>
  <conditionalFormatting sqref="A66">
    <cfRule type="cellIs" priority="786" dxfId="0" operator="greaterThan" stopIfTrue="1">
      <formula>"hoje()"</formula>
    </cfRule>
  </conditionalFormatting>
  <conditionalFormatting sqref="A66">
    <cfRule type="cellIs" priority="785" dxfId="0" operator="greaterThan" stopIfTrue="1">
      <formula>"hoje()"</formula>
    </cfRule>
  </conditionalFormatting>
  <conditionalFormatting sqref="A66">
    <cfRule type="cellIs" priority="784" dxfId="0" operator="greaterThan" stopIfTrue="1">
      <formula>"hoje()"</formula>
    </cfRule>
  </conditionalFormatting>
  <conditionalFormatting sqref="A66">
    <cfRule type="cellIs" priority="783" dxfId="0" operator="greaterThan" stopIfTrue="1">
      <formula>"hoje()"</formula>
    </cfRule>
  </conditionalFormatting>
  <conditionalFormatting sqref="A66">
    <cfRule type="cellIs" priority="782" dxfId="0" operator="greaterThan" stopIfTrue="1">
      <formula>"hoje()"</formula>
    </cfRule>
  </conditionalFormatting>
  <conditionalFormatting sqref="A66">
    <cfRule type="cellIs" priority="781" dxfId="0" operator="greaterThan" stopIfTrue="1">
      <formula>"hoje()"</formula>
    </cfRule>
  </conditionalFormatting>
  <conditionalFormatting sqref="A66">
    <cfRule type="cellIs" priority="780" dxfId="0" operator="greaterThan" stopIfTrue="1">
      <formula>"hoje()"</formula>
    </cfRule>
  </conditionalFormatting>
  <conditionalFormatting sqref="A66">
    <cfRule type="cellIs" priority="779" dxfId="0" operator="greaterThan" stopIfTrue="1">
      <formula>"hoje()"</formula>
    </cfRule>
  </conditionalFormatting>
  <conditionalFormatting sqref="A66">
    <cfRule type="cellIs" priority="778" dxfId="0" operator="greaterThan" stopIfTrue="1">
      <formula>"hoje()"</formula>
    </cfRule>
  </conditionalFormatting>
  <conditionalFormatting sqref="A66">
    <cfRule type="cellIs" priority="777" dxfId="0" operator="greaterThan" stopIfTrue="1">
      <formula>"hoje()"</formula>
    </cfRule>
  </conditionalFormatting>
  <conditionalFormatting sqref="A66">
    <cfRule type="cellIs" priority="776" dxfId="0" operator="greaterThan" stopIfTrue="1">
      <formula>"hoje()"</formula>
    </cfRule>
  </conditionalFormatting>
  <conditionalFormatting sqref="A66">
    <cfRule type="cellIs" priority="775" dxfId="0" operator="greaterThan" stopIfTrue="1">
      <formula>"hoje()"</formula>
    </cfRule>
  </conditionalFormatting>
  <conditionalFormatting sqref="A66">
    <cfRule type="cellIs" priority="774" dxfId="0" operator="greaterThan" stopIfTrue="1">
      <formula>"hoje()"</formula>
    </cfRule>
  </conditionalFormatting>
  <conditionalFormatting sqref="A66">
    <cfRule type="cellIs" priority="773" dxfId="0" operator="greaterThan" stopIfTrue="1">
      <formula>"hoje()"</formula>
    </cfRule>
  </conditionalFormatting>
  <conditionalFormatting sqref="A66">
    <cfRule type="cellIs" priority="772" dxfId="0" operator="greaterThan" stopIfTrue="1">
      <formula>"hoje()"</formula>
    </cfRule>
  </conditionalFormatting>
  <conditionalFormatting sqref="A66">
    <cfRule type="cellIs" priority="771" dxfId="0" operator="greaterThan" stopIfTrue="1">
      <formula>"hoje()"</formula>
    </cfRule>
  </conditionalFormatting>
  <conditionalFormatting sqref="A67">
    <cfRule type="cellIs" priority="770" dxfId="0" operator="greaterThan" stopIfTrue="1">
      <formula>"hoje()"</formula>
    </cfRule>
  </conditionalFormatting>
  <conditionalFormatting sqref="A67">
    <cfRule type="cellIs" priority="769" dxfId="0" operator="greaterThan" stopIfTrue="1">
      <formula>"hoje()"</formula>
    </cfRule>
  </conditionalFormatting>
  <conditionalFormatting sqref="A67">
    <cfRule type="cellIs" priority="768" dxfId="0" operator="greaterThan" stopIfTrue="1">
      <formula>"hoje()"</formula>
    </cfRule>
  </conditionalFormatting>
  <conditionalFormatting sqref="A67">
    <cfRule type="cellIs" priority="767" dxfId="0" operator="greaterThan" stopIfTrue="1">
      <formula>"hoje()"</formula>
    </cfRule>
  </conditionalFormatting>
  <conditionalFormatting sqref="A67">
    <cfRule type="cellIs" priority="766" dxfId="0" operator="greaterThan" stopIfTrue="1">
      <formula>"hoje()"</formula>
    </cfRule>
  </conditionalFormatting>
  <conditionalFormatting sqref="A67">
    <cfRule type="cellIs" priority="765" dxfId="0" operator="greaterThan" stopIfTrue="1">
      <formula>"hoje()"</formula>
    </cfRule>
  </conditionalFormatting>
  <conditionalFormatting sqref="A67">
    <cfRule type="cellIs" priority="764" dxfId="0" operator="greaterThan" stopIfTrue="1">
      <formula>"hoje()"</formula>
    </cfRule>
  </conditionalFormatting>
  <conditionalFormatting sqref="A67">
    <cfRule type="cellIs" priority="763" dxfId="0" operator="greaterThan" stopIfTrue="1">
      <formula>"hoje()"</formula>
    </cfRule>
  </conditionalFormatting>
  <conditionalFormatting sqref="A67">
    <cfRule type="cellIs" priority="762" dxfId="0" operator="greaterThan" stopIfTrue="1">
      <formula>"hoje()"</formula>
    </cfRule>
  </conditionalFormatting>
  <conditionalFormatting sqref="A67">
    <cfRule type="cellIs" priority="761" dxfId="0" operator="greaterThan" stopIfTrue="1">
      <formula>"hoje()"</formula>
    </cfRule>
  </conditionalFormatting>
  <conditionalFormatting sqref="A67">
    <cfRule type="cellIs" priority="760" dxfId="0" operator="greaterThan" stopIfTrue="1">
      <formula>"hoje()"</formula>
    </cfRule>
  </conditionalFormatting>
  <conditionalFormatting sqref="A67">
    <cfRule type="cellIs" priority="759" dxfId="0" operator="greaterThan" stopIfTrue="1">
      <formula>"hoje()"</formula>
    </cfRule>
  </conditionalFormatting>
  <conditionalFormatting sqref="A67">
    <cfRule type="cellIs" priority="758" dxfId="0" operator="greaterThan" stopIfTrue="1">
      <formula>"hoje()"</formula>
    </cfRule>
  </conditionalFormatting>
  <conditionalFormatting sqref="A67">
    <cfRule type="cellIs" priority="757" dxfId="0" operator="greaterThan" stopIfTrue="1">
      <formula>"hoje()"</formula>
    </cfRule>
  </conditionalFormatting>
  <conditionalFormatting sqref="A67">
    <cfRule type="cellIs" priority="756" dxfId="0" operator="greaterThan" stopIfTrue="1">
      <formula>"hoje()"</formula>
    </cfRule>
  </conditionalFormatting>
  <conditionalFormatting sqref="A67">
    <cfRule type="cellIs" priority="755" dxfId="0" operator="greaterThan" stopIfTrue="1">
      <formula>"hoje()"</formula>
    </cfRule>
  </conditionalFormatting>
  <conditionalFormatting sqref="A67">
    <cfRule type="cellIs" priority="754" dxfId="0" operator="greaterThan" stopIfTrue="1">
      <formula>"hoje()"</formula>
    </cfRule>
  </conditionalFormatting>
  <conditionalFormatting sqref="A67">
    <cfRule type="cellIs" priority="753" dxfId="0" operator="greaterThan" stopIfTrue="1">
      <formula>"hoje()"</formula>
    </cfRule>
  </conditionalFormatting>
  <conditionalFormatting sqref="A67">
    <cfRule type="cellIs" priority="752" dxfId="0" operator="greaterThan" stopIfTrue="1">
      <formula>"hoje()"</formula>
    </cfRule>
  </conditionalFormatting>
  <conditionalFormatting sqref="A67">
    <cfRule type="cellIs" priority="751" dxfId="0" operator="greaterThan" stopIfTrue="1">
      <formula>"hoje()"</formula>
    </cfRule>
  </conditionalFormatting>
  <conditionalFormatting sqref="A67">
    <cfRule type="cellIs" priority="750" dxfId="0" operator="greaterThan" stopIfTrue="1">
      <formula>"hoje()"</formula>
    </cfRule>
  </conditionalFormatting>
  <conditionalFormatting sqref="A67">
    <cfRule type="cellIs" priority="749" dxfId="0" operator="greaterThan" stopIfTrue="1">
      <formula>"hoje()"</formula>
    </cfRule>
  </conditionalFormatting>
  <conditionalFormatting sqref="A67">
    <cfRule type="cellIs" priority="748" dxfId="0" operator="greaterThan" stopIfTrue="1">
      <formula>"hoje()"</formula>
    </cfRule>
  </conditionalFormatting>
  <conditionalFormatting sqref="A67">
    <cfRule type="cellIs" priority="747" dxfId="0" operator="greaterThan" stopIfTrue="1">
      <formula>"hoje()"</formula>
    </cfRule>
  </conditionalFormatting>
  <conditionalFormatting sqref="A67">
    <cfRule type="cellIs" priority="746" dxfId="0" operator="greaterThan" stopIfTrue="1">
      <formula>"hoje()"</formula>
    </cfRule>
  </conditionalFormatting>
  <conditionalFormatting sqref="A67">
    <cfRule type="cellIs" priority="745" dxfId="0" operator="greaterThan" stopIfTrue="1">
      <formula>"hoje()"</formula>
    </cfRule>
  </conditionalFormatting>
  <conditionalFormatting sqref="A68">
    <cfRule type="cellIs" priority="744" dxfId="0" operator="greaterThan" stopIfTrue="1">
      <formula>"hoje()"</formula>
    </cfRule>
  </conditionalFormatting>
  <conditionalFormatting sqref="A68">
    <cfRule type="cellIs" priority="743" dxfId="0" operator="greaterThan" stopIfTrue="1">
      <formula>"hoje()"</formula>
    </cfRule>
  </conditionalFormatting>
  <conditionalFormatting sqref="A68">
    <cfRule type="cellIs" priority="742" dxfId="0" operator="greaterThan" stopIfTrue="1">
      <formula>"hoje()"</formula>
    </cfRule>
  </conditionalFormatting>
  <conditionalFormatting sqref="A68">
    <cfRule type="cellIs" priority="741" dxfId="0" operator="greaterThan" stopIfTrue="1">
      <formula>"hoje()"</formula>
    </cfRule>
  </conditionalFormatting>
  <conditionalFormatting sqref="A68">
    <cfRule type="cellIs" priority="740" dxfId="0" operator="greaterThan" stopIfTrue="1">
      <formula>"hoje()"</formula>
    </cfRule>
  </conditionalFormatting>
  <conditionalFormatting sqref="A68">
    <cfRule type="cellIs" priority="739" dxfId="0" operator="greaterThan" stopIfTrue="1">
      <formula>"hoje()"</formula>
    </cfRule>
  </conditionalFormatting>
  <conditionalFormatting sqref="A68">
    <cfRule type="cellIs" priority="738" dxfId="0" operator="greaterThan" stopIfTrue="1">
      <formula>"hoje()"</formula>
    </cfRule>
  </conditionalFormatting>
  <conditionalFormatting sqref="A68">
    <cfRule type="cellIs" priority="737" dxfId="0" operator="greaterThan" stopIfTrue="1">
      <formula>"hoje()"</formula>
    </cfRule>
  </conditionalFormatting>
  <conditionalFormatting sqref="A68">
    <cfRule type="cellIs" priority="736" dxfId="0" operator="greaterThan" stopIfTrue="1">
      <formula>"hoje()"</formula>
    </cfRule>
  </conditionalFormatting>
  <conditionalFormatting sqref="A68">
    <cfRule type="cellIs" priority="735" dxfId="0" operator="greaterThan" stopIfTrue="1">
      <formula>"hoje()"</formula>
    </cfRule>
  </conditionalFormatting>
  <conditionalFormatting sqref="A68">
    <cfRule type="cellIs" priority="734" dxfId="0" operator="greaterThan" stopIfTrue="1">
      <formula>"hoje()"</formula>
    </cfRule>
  </conditionalFormatting>
  <conditionalFormatting sqref="A68">
    <cfRule type="cellIs" priority="733" dxfId="0" operator="greaterThan" stopIfTrue="1">
      <formula>"hoje()"</formula>
    </cfRule>
  </conditionalFormatting>
  <conditionalFormatting sqref="A68">
    <cfRule type="cellIs" priority="732" dxfId="0" operator="greaterThan" stopIfTrue="1">
      <formula>"hoje()"</formula>
    </cfRule>
  </conditionalFormatting>
  <conditionalFormatting sqref="A68">
    <cfRule type="cellIs" priority="731" dxfId="0" operator="greaterThan" stopIfTrue="1">
      <formula>"hoje()"</formula>
    </cfRule>
  </conditionalFormatting>
  <conditionalFormatting sqref="A68">
    <cfRule type="cellIs" priority="730" dxfId="0" operator="greaterThan" stopIfTrue="1">
      <formula>"hoje()"</formula>
    </cfRule>
  </conditionalFormatting>
  <conditionalFormatting sqref="A68">
    <cfRule type="cellIs" priority="729" dxfId="0" operator="greaterThan" stopIfTrue="1">
      <formula>"hoje()"</formula>
    </cfRule>
  </conditionalFormatting>
  <conditionalFormatting sqref="A68">
    <cfRule type="cellIs" priority="728" dxfId="0" operator="greaterThan" stopIfTrue="1">
      <formula>"hoje()"</formula>
    </cfRule>
  </conditionalFormatting>
  <conditionalFormatting sqref="A68">
    <cfRule type="cellIs" priority="727" dxfId="0" operator="greaterThan" stopIfTrue="1">
      <formula>"hoje()"</formula>
    </cfRule>
  </conditionalFormatting>
  <conditionalFormatting sqref="A68">
    <cfRule type="cellIs" priority="726" dxfId="0" operator="greaterThan" stopIfTrue="1">
      <formula>"hoje()"</formula>
    </cfRule>
  </conditionalFormatting>
  <conditionalFormatting sqref="A68">
    <cfRule type="cellIs" priority="725" dxfId="0" operator="greaterThan" stopIfTrue="1">
      <formula>"hoje()"</formula>
    </cfRule>
  </conditionalFormatting>
  <conditionalFormatting sqref="A68">
    <cfRule type="cellIs" priority="724" dxfId="0" operator="greaterThan" stopIfTrue="1">
      <formula>"hoje()"</formula>
    </cfRule>
  </conditionalFormatting>
  <conditionalFormatting sqref="A68">
    <cfRule type="cellIs" priority="723" dxfId="0" operator="greaterThan" stopIfTrue="1">
      <formula>"hoje()"</formula>
    </cfRule>
  </conditionalFormatting>
  <conditionalFormatting sqref="A68">
    <cfRule type="cellIs" priority="722" dxfId="0" operator="greaterThan" stopIfTrue="1">
      <formula>"hoje()"</formula>
    </cfRule>
  </conditionalFormatting>
  <conditionalFormatting sqref="A68">
    <cfRule type="cellIs" priority="721" dxfId="0" operator="greaterThan" stopIfTrue="1">
      <formula>"hoje()"</formula>
    </cfRule>
  </conditionalFormatting>
  <conditionalFormatting sqref="A68">
    <cfRule type="cellIs" priority="720" dxfId="0" operator="greaterThan" stopIfTrue="1">
      <formula>"hoje()"</formula>
    </cfRule>
  </conditionalFormatting>
  <conditionalFormatting sqref="A68">
    <cfRule type="cellIs" priority="719" dxfId="0" operator="greaterThan" stopIfTrue="1">
      <formula>"hoje()"</formula>
    </cfRule>
  </conditionalFormatting>
  <conditionalFormatting sqref="A68">
    <cfRule type="cellIs" priority="718" dxfId="0" operator="greaterThan" stopIfTrue="1">
      <formula>"hoje()"</formula>
    </cfRule>
  </conditionalFormatting>
  <conditionalFormatting sqref="A68">
    <cfRule type="cellIs" priority="717" dxfId="0" operator="greaterThan" stopIfTrue="1">
      <formula>"hoje()"</formula>
    </cfRule>
  </conditionalFormatting>
  <conditionalFormatting sqref="A68">
    <cfRule type="cellIs" priority="716" dxfId="0" operator="greaterThan" stopIfTrue="1">
      <formula>"hoje()"</formula>
    </cfRule>
  </conditionalFormatting>
  <conditionalFormatting sqref="A68">
    <cfRule type="cellIs" priority="715" dxfId="0" operator="greaterThan" stopIfTrue="1">
      <formula>"hoje()"</formula>
    </cfRule>
  </conditionalFormatting>
  <conditionalFormatting sqref="A68">
    <cfRule type="cellIs" priority="714" dxfId="0" operator="greaterThan" stopIfTrue="1">
      <formula>"hoje()"</formula>
    </cfRule>
  </conditionalFormatting>
  <conditionalFormatting sqref="A69">
    <cfRule type="cellIs" priority="713" dxfId="0" operator="greaterThan" stopIfTrue="1">
      <formula>"hoje()"</formula>
    </cfRule>
  </conditionalFormatting>
  <conditionalFormatting sqref="A69">
    <cfRule type="cellIs" priority="712" dxfId="0" operator="greaterThan" stopIfTrue="1">
      <formula>"hoje()"</formula>
    </cfRule>
  </conditionalFormatting>
  <conditionalFormatting sqref="A69">
    <cfRule type="cellIs" priority="711" dxfId="0" operator="greaterThan" stopIfTrue="1">
      <formula>"hoje()"</formula>
    </cfRule>
  </conditionalFormatting>
  <conditionalFormatting sqref="A69">
    <cfRule type="cellIs" priority="710" dxfId="0" operator="greaterThan" stopIfTrue="1">
      <formula>"hoje()"</formula>
    </cfRule>
  </conditionalFormatting>
  <conditionalFormatting sqref="A69">
    <cfRule type="cellIs" priority="709" dxfId="0" operator="greaterThan" stopIfTrue="1">
      <formula>"hoje()"</formula>
    </cfRule>
  </conditionalFormatting>
  <conditionalFormatting sqref="A69">
    <cfRule type="cellIs" priority="708" dxfId="0" operator="greaterThan" stopIfTrue="1">
      <formula>"hoje()"</formula>
    </cfRule>
  </conditionalFormatting>
  <conditionalFormatting sqref="A69">
    <cfRule type="cellIs" priority="707" dxfId="0" operator="greaterThan" stopIfTrue="1">
      <formula>"hoje()"</formula>
    </cfRule>
  </conditionalFormatting>
  <conditionalFormatting sqref="A69">
    <cfRule type="cellIs" priority="706" dxfId="0" operator="greaterThan" stopIfTrue="1">
      <formula>"hoje()"</formula>
    </cfRule>
  </conditionalFormatting>
  <conditionalFormatting sqref="A69">
    <cfRule type="cellIs" priority="705" dxfId="0" operator="greaterThan" stopIfTrue="1">
      <formula>"hoje()"</formula>
    </cfRule>
  </conditionalFormatting>
  <conditionalFormatting sqref="A69">
    <cfRule type="cellIs" priority="704" dxfId="0" operator="greaterThan" stopIfTrue="1">
      <formula>"hoje()"</formula>
    </cfRule>
  </conditionalFormatting>
  <conditionalFormatting sqref="A69">
    <cfRule type="cellIs" priority="703" dxfId="0" operator="greaterThan" stopIfTrue="1">
      <formula>"hoje()"</formula>
    </cfRule>
  </conditionalFormatting>
  <conditionalFormatting sqref="A69">
    <cfRule type="cellIs" priority="702" dxfId="0" operator="greaterThan" stopIfTrue="1">
      <formula>"hoje()"</formula>
    </cfRule>
  </conditionalFormatting>
  <conditionalFormatting sqref="A69">
    <cfRule type="cellIs" priority="701" dxfId="0" operator="greaterThan" stopIfTrue="1">
      <formula>"hoje()"</formula>
    </cfRule>
  </conditionalFormatting>
  <conditionalFormatting sqref="A69">
    <cfRule type="cellIs" priority="700" dxfId="0" operator="greaterThan" stopIfTrue="1">
      <formula>"hoje()"</formula>
    </cfRule>
  </conditionalFormatting>
  <conditionalFormatting sqref="A69">
    <cfRule type="cellIs" priority="699" dxfId="0" operator="greaterThan" stopIfTrue="1">
      <formula>"hoje()"</formula>
    </cfRule>
  </conditionalFormatting>
  <conditionalFormatting sqref="A69">
    <cfRule type="cellIs" priority="698" dxfId="0" operator="greaterThan" stopIfTrue="1">
      <formula>"hoje()"</formula>
    </cfRule>
  </conditionalFormatting>
  <conditionalFormatting sqref="A69">
    <cfRule type="cellIs" priority="697" dxfId="0" operator="greaterThan" stopIfTrue="1">
      <formula>"hoje()"</formula>
    </cfRule>
  </conditionalFormatting>
  <conditionalFormatting sqref="A69">
    <cfRule type="cellIs" priority="696" dxfId="0" operator="greaterThan" stopIfTrue="1">
      <formula>"hoje()"</formula>
    </cfRule>
  </conditionalFormatting>
  <conditionalFormatting sqref="A69">
    <cfRule type="cellIs" priority="695" dxfId="0" operator="greaterThan" stopIfTrue="1">
      <formula>"hoje()"</formula>
    </cfRule>
  </conditionalFormatting>
  <conditionalFormatting sqref="A69">
    <cfRule type="cellIs" priority="694" dxfId="0" operator="greaterThan" stopIfTrue="1">
      <formula>"hoje()"</formula>
    </cfRule>
  </conditionalFormatting>
  <conditionalFormatting sqref="A69">
    <cfRule type="cellIs" priority="693" dxfId="0" operator="greaterThan" stopIfTrue="1">
      <formula>"hoje()"</formula>
    </cfRule>
  </conditionalFormatting>
  <conditionalFormatting sqref="A69">
    <cfRule type="cellIs" priority="692" dxfId="0" operator="greaterThan" stopIfTrue="1">
      <formula>"hoje()"</formula>
    </cfRule>
  </conditionalFormatting>
  <conditionalFormatting sqref="A69">
    <cfRule type="cellIs" priority="691" dxfId="0" operator="greaterThan" stopIfTrue="1">
      <formula>"hoje()"</formula>
    </cfRule>
  </conditionalFormatting>
  <conditionalFormatting sqref="A69">
    <cfRule type="cellIs" priority="690" dxfId="0" operator="greaterThan" stopIfTrue="1">
      <formula>"hoje()"</formula>
    </cfRule>
  </conditionalFormatting>
  <conditionalFormatting sqref="A69">
    <cfRule type="cellIs" priority="689" dxfId="0" operator="greaterThan" stopIfTrue="1">
      <formula>"hoje()"</formula>
    </cfRule>
  </conditionalFormatting>
  <conditionalFormatting sqref="A69">
    <cfRule type="cellIs" priority="688" dxfId="0" operator="greaterThan" stopIfTrue="1">
      <formula>"hoje()"</formula>
    </cfRule>
  </conditionalFormatting>
  <conditionalFormatting sqref="A69">
    <cfRule type="cellIs" priority="687" dxfId="0" operator="greaterThan" stopIfTrue="1">
      <formula>"hoje()"</formula>
    </cfRule>
  </conditionalFormatting>
  <conditionalFormatting sqref="A69">
    <cfRule type="cellIs" priority="686" dxfId="0" operator="greaterThan" stopIfTrue="1">
      <formula>"hoje()"</formula>
    </cfRule>
  </conditionalFormatting>
  <conditionalFormatting sqref="A69">
    <cfRule type="cellIs" priority="685" dxfId="0" operator="greaterThan" stopIfTrue="1">
      <formula>"hoje()"</formula>
    </cfRule>
  </conditionalFormatting>
  <conditionalFormatting sqref="A69">
    <cfRule type="cellIs" priority="684" dxfId="0" operator="greaterThan" stopIfTrue="1">
      <formula>"hoje()"</formula>
    </cfRule>
  </conditionalFormatting>
  <conditionalFormatting sqref="A69">
    <cfRule type="cellIs" priority="683" dxfId="0" operator="greaterThan" stopIfTrue="1">
      <formula>"hoje()"</formula>
    </cfRule>
  </conditionalFormatting>
  <conditionalFormatting sqref="A69">
    <cfRule type="cellIs" priority="682" dxfId="0" operator="greaterThan" stopIfTrue="1">
      <formula>"hoje()"</formula>
    </cfRule>
  </conditionalFormatting>
  <conditionalFormatting sqref="A69">
    <cfRule type="cellIs" priority="681" dxfId="0" operator="greaterThan" stopIfTrue="1">
      <formula>"hoje()"</formula>
    </cfRule>
  </conditionalFormatting>
  <conditionalFormatting sqref="A69">
    <cfRule type="cellIs" priority="680" dxfId="0" operator="greaterThan" stopIfTrue="1">
      <formula>"hoje()"</formula>
    </cfRule>
  </conditionalFormatting>
  <conditionalFormatting sqref="A69">
    <cfRule type="cellIs" priority="679" dxfId="0" operator="greaterThan" stopIfTrue="1">
      <formula>"hoje()"</formula>
    </cfRule>
  </conditionalFormatting>
  <conditionalFormatting sqref="A69">
    <cfRule type="cellIs" priority="678" dxfId="0" operator="greaterThan" stopIfTrue="1">
      <formula>"hoje()"</formula>
    </cfRule>
  </conditionalFormatting>
  <conditionalFormatting sqref="A70">
    <cfRule type="cellIs" priority="677" dxfId="0" operator="greaterThan" stopIfTrue="1">
      <formula>"hoje()"</formula>
    </cfRule>
  </conditionalFormatting>
  <conditionalFormatting sqref="A70">
    <cfRule type="cellIs" priority="676" dxfId="0" operator="greaterThan" stopIfTrue="1">
      <formula>"hoje()"</formula>
    </cfRule>
  </conditionalFormatting>
  <conditionalFormatting sqref="A70">
    <cfRule type="cellIs" priority="675" dxfId="0" operator="greaterThan" stopIfTrue="1">
      <formula>"hoje()"</formula>
    </cfRule>
  </conditionalFormatting>
  <conditionalFormatting sqref="A70">
    <cfRule type="cellIs" priority="674" dxfId="0" operator="greaterThan" stopIfTrue="1">
      <formula>"hoje()"</formula>
    </cfRule>
  </conditionalFormatting>
  <conditionalFormatting sqref="A70">
    <cfRule type="cellIs" priority="673" dxfId="0" operator="greaterThan" stopIfTrue="1">
      <formula>"hoje()"</formula>
    </cfRule>
  </conditionalFormatting>
  <conditionalFormatting sqref="A70">
    <cfRule type="cellIs" priority="672" dxfId="0" operator="greaterThan" stopIfTrue="1">
      <formula>"hoje()"</formula>
    </cfRule>
  </conditionalFormatting>
  <conditionalFormatting sqref="A70">
    <cfRule type="cellIs" priority="671" dxfId="0" operator="greaterThan" stopIfTrue="1">
      <formula>"hoje()"</formula>
    </cfRule>
  </conditionalFormatting>
  <conditionalFormatting sqref="A70">
    <cfRule type="cellIs" priority="670" dxfId="0" operator="greaterThan" stopIfTrue="1">
      <formula>"hoje()"</formula>
    </cfRule>
  </conditionalFormatting>
  <conditionalFormatting sqref="A70">
    <cfRule type="cellIs" priority="669" dxfId="0" operator="greaterThan" stopIfTrue="1">
      <formula>"hoje()"</formula>
    </cfRule>
  </conditionalFormatting>
  <conditionalFormatting sqref="A70">
    <cfRule type="cellIs" priority="668" dxfId="0" operator="greaterThan" stopIfTrue="1">
      <formula>"hoje()"</formula>
    </cfRule>
  </conditionalFormatting>
  <conditionalFormatting sqref="A70">
    <cfRule type="cellIs" priority="667" dxfId="0" operator="greaterThan" stopIfTrue="1">
      <formula>"hoje()"</formula>
    </cfRule>
  </conditionalFormatting>
  <conditionalFormatting sqref="A70">
    <cfRule type="cellIs" priority="666" dxfId="0" operator="greaterThan" stopIfTrue="1">
      <formula>"hoje()"</formula>
    </cfRule>
  </conditionalFormatting>
  <conditionalFormatting sqref="A70">
    <cfRule type="cellIs" priority="665" dxfId="0" operator="greaterThan" stopIfTrue="1">
      <formula>"hoje()"</formula>
    </cfRule>
  </conditionalFormatting>
  <conditionalFormatting sqref="A70">
    <cfRule type="cellIs" priority="664" dxfId="0" operator="greaterThan" stopIfTrue="1">
      <formula>"hoje()"</formula>
    </cfRule>
  </conditionalFormatting>
  <conditionalFormatting sqref="A70">
    <cfRule type="cellIs" priority="663" dxfId="0" operator="greaterThan" stopIfTrue="1">
      <formula>"hoje()"</formula>
    </cfRule>
  </conditionalFormatting>
  <conditionalFormatting sqref="A70">
    <cfRule type="cellIs" priority="662" dxfId="0" operator="greaterThan" stopIfTrue="1">
      <formula>"hoje()"</formula>
    </cfRule>
  </conditionalFormatting>
  <conditionalFormatting sqref="A70">
    <cfRule type="cellIs" priority="661" dxfId="0" operator="greaterThan" stopIfTrue="1">
      <formula>"hoje()"</formula>
    </cfRule>
  </conditionalFormatting>
  <conditionalFormatting sqref="A70">
    <cfRule type="cellIs" priority="660" dxfId="0" operator="greaterThan" stopIfTrue="1">
      <formula>"hoje()"</formula>
    </cfRule>
  </conditionalFormatting>
  <conditionalFormatting sqref="A70">
    <cfRule type="cellIs" priority="659" dxfId="0" operator="greaterThan" stopIfTrue="1">
      <formula>"hoje()"</formula>
    </cfRule>
  </conditionalFormatting>
  <conditionalFormatting sqref="A70">
    <cfRule type="cellIs" priority="658" dxfId="0" operator="greaterThan" stopIfTrue="1">
      <formula>"hoje()"</formula>
    </cfRule>
  </conditionalFormatting>
  <conditionalFormatting sqref="A70">
    <cfRule type="cellIs" priority="657" dxfId="0" operator="greaterThan" stopIfTrue="1">
      <formula>"hoje()"</formula>
    </cfRule>
  </conditionalFormatting>
  <conditionalFormatting sqref="A70">
    <cfRule type="cellIs" priority="656" dxfId="0" operator="greaterThan" stopIfTrue="1">
      <formula>"hoje()"</formula>
    </cfRule>
  </conditionalFormatting>
  <conditionalFormatting sqref="A70">
    <cfRule type="cellIs" priority="655" dxfId="0" operator="greaterThan" stopIfTrue="1">
      <formula>"hoje()"</formula>
    </cfRule>
  </conditionalFormatting>
  <conditionalFormatting sqref="A70">
    <cfRule type="cellIs" priority="654" dxfId="0" operator="greaterThan" stopIfTrue="1">
      <formula>"hoje()"</formula>
    </cfRule>
  </conditionalFormatting>
  <conditionalFormatting sqref="A70">
    <cfRule type="cellIs" priority="653" dxfId="0" operator="greaterThan" stopIfTrue="1">
      <formula>"hoje()"</formula>
    </cfRule>
  </conditionalFormatting>
  <conditionalFormatting sqref="A70">
    <cfRule type="cellIs" priority="652" dxfId="0" operator="greaterThan" stopIfTrue="1">
      <formula>"hoje()"</formula>
    </cfRule>
  </conditionalFormatting>
  <conditionalFormatting sqref="A70">
    <cfRule type="cellIs" priority="651" dxfId="0" operator="greaterThan" stopIfTrue="1">
      <formula>"hoje()"</formula>
    </cfRule>
  </conditionalFormatting>
  <conditionalFormatting sqref="A70">
    <cfRule type="cellIs" priority="650" dxfId="0" operator="greaterThan" stopIfTrue="1">
      <formula>"hoje()"</formula>
    </cfRule>
  </conditionalFormatting>
  <conditionalFormatting sqref="A70">
    <cfRule type="cellIs" priority="649" dxfId="0" operator="greaterThan" stopIfTrue="1">
      <formula>"hoje()"</formula>
    </cfRule>
  </conditionalFormatting>
  <conditionalFormatting sqref="A70">
    <cfRule type="cellIs" priority="648" dxfId="0" operator="greaterThan" stopIfTrue="1">
      <formula>"hoje()"</formula>
    </cfRule>
  </conditionalFormatting>
  <conditionalFormatting sqref="A70">
    <cfRule type="cellIs" priority="647" dxfId="0" operator="greaterThan" stopIfTrue="1">
      <formula>"hoje()"</formula>
    </cfRule>
  </conditionalFormatting>
  <conditionalFormatting sqref="A70">
    <cfRule type="cellIs" priority="646" dxfId="0" operator="greaterThan" stopIfTrue="1">
      <formula>"hoje()"</formula>
    </cfRule>
  </conditionalFormatting>
  <conditionalFormatting sqref="A70">
    <cfRule type="cellIs" priority="645" dxfId="0" operator="greaterThan" stopIfTrue="1">
      <formula>"hoje()"</formula>
    </cfRule>
  </conditionalFormatting>
  <conditionalFormatting sqref="A70">
    <cfRule type="cellIs" priority="644" dxfId="0" operator="greaterThan" stopIfTrue="1">
      <formula>"hoje()"</formula>
    </cfRule>
  </conditionalFormatting>
  <conditionalFormatting sqref="A70">
    <cfRule type="cellIs" priority="643" dxfId="0" operator="greaterThan" stopIfTrue="1">
      <formula>"hoje()"</formula>
    </cfRule>
  </conditionalFormatting>
  <conditionalFormatting sqref="A70">
    <cfRule type="cellIs" priority="642" dxfId="0" operator="greaterThan" stopIfTrue="1">
      <formula>"hoje()"</formula>
    </cfRule>
  </conditionalFormatting>
  <conditionalFormatting sqref="A70">
    <cfRule type="cellIs" priority="641" dxfId="0" operator="greaterThan" stopIfTrue="1">
      <formula>"hoje()"</formula>
    </cfRule>
  </conditionalFormatting>
  <conditionalFormatting sqref="A70">
    <cfRule type="cellIs" priority="640" dxfId="0" operator="greaterThan" stopIfTrue="1">
      <formula>"hoje()"</formula>
    </cfRule>
  </conditionalFormatting>
  <conditionalFormatting sqref="A70">
    <cfRule type="cellIs" priority="639" dxfId="0" operator="greaterThan" stopIfTrue="1">
      <formula>"hoje()"</formula>
    </cfRule>
  </conditionalFormatting>
  <conditionalFormatting sqref="A70">
    <cfRule type="cellIs" priority="638" dxfId="0" operator="greaterThan" stopIfTrue="1">
      <formula>"hoje()"</formula>
    </cfRule>
  </conditionalFormatting>
  <conditionalFormatting sqref="A70">
    <cfRule type="cellIs" priority="637" dxfId="0" operator="greaterThan" stopIfTrue="1">
      <formula>"hoje()"</formula>
    </cfRule>
  </conditionalFormatting>
  <conditionalFormatting sqref="A71:A72">
    <cfRule type="cellIs" priority="636" dxfId="0" operator="greaterThan" stopIfTrue="1">
      <formula>"hoje()"</formula>
    </cfRule>
  </conditionalFormatting>
  <conditionalFormatting sqref="A71:A72">
    <cfRule type="cellIs" priority="635" dxfId="0" operator="greaterThan" stopIfTrue="1">
      <formula>"hoje()"</formula>
    </cfRule>
  </conditionalFormatting>
  <conditionalFormatting sqref="A71:A72">
    <cfRule type="cellIs" priority="634" dxfId="0" operator="greaterThan" stopIfTrue="1">
      <formula>"hoje()"</formula>
    </cfRule>
  </conditionalFormatting>
  <conditionalFormatting sqref="A71:A72">
    <cfRule type="cellIs" priority="633" dxfId="0" operator="greaterThan" stopIfTrue="1">
      <formula>"hoje()"</formula>
    </cfRule>
  </conditionalFormatting>
  <conditionalFormatting sqref="A71:A72">
    <cfRule type="cellIs" priority="632" dxfId="0" operator="greaterThan" stopIfTrue="1">
      <formula>"hoje()"</formula>
    </cfRule>
  </conditionalFormatting>
  <conditionalFormatting sqref="A71:A72">
    <cfRule type="cellIs" priority="631" dxfId="0" operator="greaterThan" stopIfTrue="1">
      <formula>"hoje()"</formula>
    </cfRule>
  </conditionalFormatting>
  <conditionalFormatting sqref="A71:A72">
    <cfRule type="cellIs" priority="630" dxfId="0" operator="greaterThan" stopIfTrue="1">
      <formula>"hoje()"</formula>
    </cfRule>
  </conditionalFormatting>
  <conditionalFormatting sqref="A71:A72">
    <cfRule type="cellIs" priority="629" dxfId="0" operator="greaterThan" stopIfTrue="1">
      <formula>"hoje()"</formula>
    </cfRule>
  </conditionalFormatting>
  <conditionalFormatting sqref="A71:A72">
    <cfRule type="cellIs" priority="628" dxfId="0" operator="greaterThan" stopIfTrue="1">
      <formula>"hoje()"</formula>
    </cfRule>
  </conditionalFormatting>
  <conditionalFormatting sqref="A71:A72">
    <cfRule type="cellIs" priority="627" dxfId="0" operator="greaterThan" stopIfTrue="1">
      <formula>"hoje()"</formula>
    </cfRule>
  </conditionalFormatting>
  <conditionalFormatting sqref="A71:A72">
    <cfRule type="cellIs" priority="626" dxfId="0" operator="greaterThan" stopIfTrue="1">
      <formula>"hoje()"</formula>
    </cfRule>
  </conditionalFormatting>
  <conditionalFormatting sqref="A71:A72">
    <cfRule type="cellIs" priority="625" dxfId="0" operator="greaterThan" stopIfTrue="1">
      <formula>"hoje()"</formula>
    </cfRule>
  </conditionalFormatting>
  <conditionalFormatting sqref="A71:A72">
    <cfRule type="cellIs" priority="624" dxfId="0" operator="greaterThan" stopIfTrue="1">
      <formula>"hoje()"</formula>
    </cfRule>
  </conditionalFormatting>
  <conditionalFormatting sqref="A71:A72">
    <cfRule type="cellIs" priority="623" dxfId="0" operator="greaterThan" stopIfTrue="1">
      <formula>"hoje()"</formula>
    </cfRule>
  </conditionalFormatting>
  <conditionalFormatting sqref="A71:A72">
    <cfRule type="cellIs" priority="622" dxfId="0" operator="greaterThan" stopIfTrue="1">
      <formula>"hoje()"</formula>
    </cfRule>
  </conditionalFormatting>
  <conditionalFormatting sqref="A71:A72">
    <cfRule type="cellIs" priority="621" dxfId="0" operator="greaterThan" stopIfTrue="1">
      <formula>"hoje()"</formula>
    </cfRule>
  </conditionalFormatting>
  <conditionalFormatting sqref="A71:A72">
    <cfRule type="cellIs" priority="620" dxfId="0" operator="greaterThan" stopIfTrue="1">
      <formula>"hoje()"</formula>
    </cfRule>
  </conditionalFormatting>
  <conditionalFormatting sqref="A71:A72">
    <cfRule type="cellIs" priority="619" dxfId="0" operator="greaterThan" stopIfTrue="1">
      <formula>"hoje()"</formula>
    </cfRule>
  </conditionalFormatting>
  <conditionalFormatting sqref="A71:A72">
    <cfRule type="cellIs" priority="618" dxfId="0" operator="greaterThan" stopIfTrue="1">
      <formula>"hoje()"</formula>
    </cfRule>
  </conditionalFormatting>
  <conditionalFormatting sqref="A71:A72">
    <cfRule type="cellIs" priority="617" dxfId="0" operator="greaterThan" stopIfTrue="1">
      <formula>"hoje()"</formula>
    </cfRule>
  </conditionalFormatting>
  <conditionalFormatting sqref="A71:A72">
    <cfRule type="cellIs" priority="616" dxfId="0" operator="greaterThan" stopIfTrue="1">
      <formula>"hoje()"</formula>
    </cfRule>
  </conditionalFormatting>
  <conditionalFormatting sqref="A71:A72">
    <cfRule type="cellIs" priority="615" dxfId="0" operator="greaterThan" stopIfTrue="1">
      <formula>"hoje()"</formula>
    </cfRule>
  </conditionalFormatting>
  <conditionalFormatting sqref="A71:A72">
    <cfRule type="cellIs" priority="614" dxfId="0" operator="greaterThan" stopIfTrue="1">
      <formula>"hoje()"</formula>
    </cfRule>
  </conditionalFormatting>
  <conditionalFormatting sqref="A71:A72">
    <cfRule type="cellIs" priority="613" dxfId="0" operator="greaterThan" stopIfTrue="1">
      <formula>"hoje()"</formula>
    </cfRule>
  </conditionalFormatting>
  <conditionalFormatting sqref="A71:A72">
    <cfRule type="cellIs" priority="612" dxfId="0" operator="greaterThan" stopIfTrue="1">
      <formula>"hoje()"</formula>
    </cfRule>
  </conditionalFormatting>
  <conditionalFormatting sqref="A71:A72">
    <cfRule type="cellIs" priority="611" dxfId="0" operator="greaterThan" stopIfTrue="1">
      <formula>"hoje()"</formula>
    </cfRule>
  </conditionalFormatting>
  <conditionalFormatting sqref="A71:A72">
    <cfRule type="cellIs" priority="610" dxfId="0" operator="greaterThan" stopIfTrue="1">
      <formula>"hoje()"</formula>
    </cfRule>
  </conditionalFormatting>
  <conditionalFormatting sqref="A71:A72">
    <cfRule type="cellIs" priority="609" dxfId="0" operator="greaterThan" stopIfTrue="1">
      <formula>"hoje()"</formula>
    </cfRule>
  </conditionalFormatting>
  <conditionalFormatting sqref="A71:A72">
    <cfRule type="cellIs" priority="608" dxfId="0" operator="greaterThan" stopIfTrue="1">
      <formula>"hoje()"</formula>
    </cfRule>
  </conditionalFormatting>
  <conditionalFormatting sqref="A71:A72">
    <cfRule type="cellIs" priority="607" dxfId="0" operator="greaterThan" stopIfTrue="1">
      <formula>"hoje()"</formula>
    </cfRule>
  </conditionalFormatting>
  <conditionalFormatting sqref="A71:A72">
    <cfRule type="cellIs" priority="606" dxfId="0" operator="greaterThan" stopIfTrue="1">
      <formula>"hoje()"</formula>
    </cfRule>
  </conditionalFormatting>
  <conditionalFormatting sqref="A71:A72">
    <cfRule type="cellIs" priority="605" dxfId="0" operator="greaterThan" stopIfTrue="1">
      <formula>"hoje()"</formula>
    </cfRule>
  </conditionalFormatting>
  <conditionalFormatting sqref="A71:A72">
    <cfRule type="cellIs" priority="604" dxfId="0" operator="greaterThan" stopIfTrue="1">
      <formula>"hoje()"</formula>
    </cfRule>
  </conditionalFormatting>
  <conditionalFormatting sqref="A71:A72">
    <cfRule type="cellIs" priority="603" dxfId="0" operator="greaterThan" stopIfTrue="1">
      <formula>"hoje()"</formula>
    </cfRule>
  </conditionalFormatting>
  <conditionalFormatting sqref="A71:A72">
    <cfRule type="cellIs" priority="602" dxfId="0" operator="greaterThan" stopIfTrue="1">
      <formula>"hoje()"</formula>
    </cfRule>
  </conditionalFormatting>
  <conditionalFormatting sqref="A71:A72">
    <cfRule type="cellIs" priority="601" dxfId="0" operator="greaterThan" stopIfTrue="1">
      <formula>"hoje()"</formula>
    </cfRule>
  </conditionalFormatting>
  <conditionalFormatting sqref="A71:A72">
    <cfRule type="cellIs" priority="600" dxfId="0" operator="greaterThan" stopIfTrue="1">
      <formula>"hoje()"</formula>
    </cfRule>
  </conditionalFormatting>
  <conditionalFormatting sqref="A71:A72">
    <cfRule type="cellIs" priority="599" dxfId="0" operator="greaterThan" stopIfTrue="1">
      <formula>"hoje()"</formula>
    </cfRule>
  </conditionalFormatting>
  <conditionalFormatting sqref="A71:A72">
    <cfRule type="cellIs" priority="598" dxfId="0" operator="greaterThan" stopIfTrue="1">
      <formula>"hoje()"</formula>
    </cfRule>
  </conditionalFormatting>
  <conditionalFormatting sqref="A71:A72">
    <cfRule type="cellIs" priority="597" dxfId="0" operator="greaterThan" stopIfTrue="1">
      <formula>"hoje()"</formula>
    </cfRule>
  </conditionalFormatting>
  <conditionalFormatting sqref="A71:A72">
    <cfRule type="cellIs" priority="596" dxfId="0" operator="greaterThan" stopIfTrue="1">
      <formula>"hoje()"</formula>
    </cfRule>
  </conditionalFormatting>
  <conditionalFormatting sqref="A71:A72">
    <cfRule type="cellIs" priority="595" dxfId="0" operator="greaterThan" stopIfTrue="1">
      <formula>"hoje()"</formula>
    </cfRule>
  </conditionalFormatting>
  <conditionalFormatting sqref="A71:A72">
    <cfRule type="cellIs" priority="594" dxfId="0" operator="greaterThan" stopIfTrue="1">
      <formula>"hoje()"</formula>
    </cfRule>
  </conditionalFormatting>
  <conditionalFormatting sqref="A71:A72">
    <cfRule type="cellIs" priority="593" dxfId="0" operator="greaterThan" stopIfTrue="1">
      <formula>"hoje()"</formula>
    </cfRule>
  </conditionalFormatting>
  <conditionalFormatting sqref="A71:A72">
    <cfRule type="cellIs" priority="592" dxfId="0" operator="greaterThan" stopIfTrue="1">
      <formula>"hoje()"</formula>
    </cfRule>
  </conditionalFormatting>
  <conditionalFormatting sqref="A71:A72">
    <cfRule type="cellIs" priority="591" dxfId="0" operator="greaterThan" stopIfTrue="1">
      <formula>"hoje()"</formula>
    </cfRule>
  </conditionalFormatting>
  <conditionalFormatting sqref="A73 A75:A76 A78">
    <cfRule type="cellIs" priority="590" dxfId="0" operator="greaterThan" stopIfTrue="1">
      <formula>"hoje()"</formula>
    </cfRule>
  </conditionalFormatting>
  <conditionalFormatting sqref="A73 A75:A76 A78">
    <cfRule type="cellIs" priority="589" dxfId="0" operator="greaterThan" stopIfTrue="1">
      <formula>"hoje()"</formula>
    </cfRule>
  </conditionalFormatting>
  <conditionalFormatting sqref="A73 A75:A76 A78">
    <cfRule type="cellIs" priority="588" dxfId="0" operator="greaterThan" stopIfTrue="1">
      <formula>"hoje()"</formula>
    </cfRule>
  </conditionalFormatting>
  <conditionalFormatting sqref="A73 A75:A76 A78">
    <cfRule type="cellIs" priority="587" dxfId="0" operator="greaterThan" stopIfTrue="1">
      <formula>"hoje()"</formula>
    </cfRule>
  </conditionalFormatting>
  <conditionalFormatting sqref="A73 A75:A76 A78">
    <cfRule type="cellIs" priority="586" dxfId="0" operator="greaterThan" stopIfTrue="1">
      <formula>"hoje()"</formula>
    </cfRule>
  </conditionalFormatting>
  <conditionalFormatting sqref="A73 A75:A76 A78">
    <cfRule type="cellIs" priority="585" dxfId="0" operator="greaterThan" stopIfTrue="1">
      <formula>"hoje()"</formula>
    </cfRule>
  </conditionalFormatting>
  <conditionalFormatting sqref="A73 A75:A76 A78">
    <cfRule type="cellIs" priority="584" dxfId="0" operator="greaterThan" stopIfTrue="1">
      <formula>"hoje()"</formula>
    </cfRule>
  </conditionalFormatting>
  <conditionalFormatting sqref="A73 A75:A76 A78">
    <cfRule type="cellIs" priority="583" dxfId="0" operator="greaterThan" stopIfTrue="1">
      <formula>"hoje()"</formula>
    </cfRule>
  </conditionalFormatting>
  <conditionalFormatting sqref="A73 A75:A76 A78">
    <cfRule type="cellIs" priority="582" dxfId="0" operator="greaterThan" stopIfTrue="1">
      <formula>"hoje()"</formula>
    </cfRule>
  </conditionalFormatting>
  <conditionalFormatting sqref="A73 A75:A76 A78">
    <cfRule type="cellIs" priority="581" dxfId="0" operator="greaterThan" stopIfTrue="1">
      <formula>"hoje()"</formula>
    </cfRule>
  </conditionalFormatting>
  <conditionalFormatting sqref="A73 A75:A76 A78">
    <cfRule type="cellIs" priority="580" dxfId="0" operator="greaterThan" stopIfTrue="1">
      <formula>"hoje()"</formula>
    </cfRule>
  </conditionalFormatting>
  <conditionalFormatting sqref="A73 A75:A76 A78">
    <cfRule type="cellIs" priority="579" dxfId="0" operator="greaterThan" stopIfTrue="1">
      <formula>"hoje()"</formula>
    </cfRule>
  </conditionalFormatting>
  <conditionalFormatting sqref="A73 A75:A76 A78">
    <cfRule type="cellIs" priority="578" dxfId="0" operator="greaterThan" stopIfTrue="1">
      <formula>"hoje()"</formula>
    </cfRule>
  </conditionalFormatting>
  <conditionalFormatting sqref="A73 A75:A76 A78">
    <cfRule type="cellIs" priority="577" dxfId="0" operator="greaterThan" stopIfTrue="1">
      <formula>"hoje()"</formula>
    </cfRule>
  </conditionalFormatting>
  <conditionalFormatting sqref="A73 A75:A76 A78">
    <cfRule type="cellIs" priority="576" dxfId="0" operator="greaterThan" stopIfTrue="1">
      <formula>"hoje()"</formula>
    </cfRule>
  </conditionalFormatting>
  <conditionalFormatting sqref="A73 A75:A76 A78">
    <cfRule type="cellIs" priority="575" dxfId="0" operator="greaterThan" stopIfTrue="1">
      <formula>"hoje()"</formula>
    </cfRule>
  </conditionalFormatting>
  <conditionalFormatting sqref="A73 A75:A76 A78">
    <cfRule type="cellIs" priority="574" dxfId="0" operator="greaterThan" stopIfTrue="1">
      <formula>"hoje()"</formula>
    </cfRule>
  </conditionalFormatting>
  <conditionalFormatting sqref="A73 A75:A76 A78">
    <cfRule type="cellIs" priority="573" dxfId="0" operator="greaterThan" stopIfTrue="1">
      <formula>"hoje()"</formula>
    </cfRule>
  </conditionalFormatting>
  <conditionalFormatting sqref="A73 A75:A76 A78">
    <cfRule type="cellIs" priority="572" dxfId="0" operator="greaterThan" stopIfTrue="1">
      <formula>"hoje()"</formula>
    </cfRule>
  </conditionalFormatting>
  <conditionalFormatting sqref="A73 A75:A76 A78">
    <cfRule type="cellIs" priority="571" dxfId="0" operator="greaterThan" stopIfTrue="1">
      <formula>"hoje()"</formula>
    </cfRule>
  </conditionalFormatting>
  <conditionalFormatting sqref="A73 A75:A76 A78">
    <cfRule type="cellIs" priority="570" dxfId="0" operator="greaterThan" stopIfTrue="1">
      <formula>"hoje()"</formula>
    </cfRule>
  </conditionalFormatting>
  <conditionalFormatting sqref="A73 A75:A76 A78">
    <cfRule type="cellIs" priority="569" dxfId="0" operator="greaterThan" stopIfTrue="1">
      <formula>"hoje()"</formula>
    </cfRule>
  </conditionalFormatting>
  <conditionalFormatting sqref="A73 A75:A76 A78">
    <cfRule type="cellIs" priority="568" dxfId="0" operator="greaterThan" stopIfTrue="1">
      <formula>"hoje()"</formula>
    </cfRule>
  </conditionalFormatting>
  <conditionalFormatting sqref="A73 A75:A76 A78">
    <cfRule type="cellIs" priority="567" dxfId="0" operator="greaterThan" stopIfTrue="1">
      <formula>"hoje()"</formula>
    </cfRule>
  </conditionalFormatting>
  <conditionalFormatting sqref="A73 A75:A76 A78">
    <cfRule type="cellIs" priority="566" dxfId="0" operator="greaterThan" stopIfTrue="1">
      <formula>"hoje()"</formula>
    </cfRule>
  </conditionalFormatting>
  <conditionalFormatting sqref="A73 A75:A76 A78">
    <cfRule type="cellIs" priority="565" dxfId="0" operator="greaterThan" stopIfTrue="1">
      <formula>"hoje()"</formula>
    </cfRule>
  </conditionalFormatting>
  <conditionalFormatting sqref="A73 A75:A76 A78">
    <cfRule type="cellIs" priority="564" dxfId="0" operator="greaterThan" stopIfTrue="1">
      <formula>"hoje()"</formula>
    </cfRule>
  </conditionalFormatting>
  <conditionalFormatting sqref="A73 A75:A76 A78">
    <cfRule type="cellIs" priority="563" dxfId="0" operator="greaterThan" stopIfTrue="1">
      <formula>"hoje()"</formula>
    </cfRule>
  </conditionalFormatting>
  <conditionalFormatting sqref="A73 A75:A76 A78">
    <cfRule type="cellIs" priority="562" dxfId="0" operator="greaterThan" stopIfTrue="1">
      <formula>"hoje()"</formula>
    </cfRule>
  </conditionalFormatting>
  <conditionalFormatting sqref="A73 A75:A76 A78">
    <cfRule type="cellIs" priority="561" dxfId="0" operator="greaterThan" stopIfTrue="1">
      <formula>"hoje()"</formula>
    </cfRule>
  </conditionalFormatting>
  <conditionalFormatting sqref="A73 A75:A76 A78">
    <cfRule type="cellIs" priority="560" dxfId="0" operator="greaterThan" stopIfTrue="1">
      <formula>"hoje()"</formula>
    </cfRule>
  </conditionalFormatting>
  <conditionalFormatting sqref="A73 A75:A76 A78">
    <cfRule type="cellIs" priority="559" dxfId="0" operator="greaterThan" stopIfTrue="1">
      <formula>"hoje()"</formula>
    </cfRule>
  </conditionalFormatting>
  <conditionalFormatting sqref="A73 A75:A76 A78">
    <cfRule type="cellIs" priority="558" dxfId="0" operator="greaterThan" stopIfTrue="1">
      <formula>"hoje()"</formula>
    </cfRule>
  </conditionalFormatting>
  <conditionalFormatting sqref="A73 A75:A76 A78">
    <cfRule type="cellIs" priority="557" dxfId="0" operator="greaterThan" stopIfTrue="1">
      <formula>"hoje()"</formula>
    </cfRule>
  </conditionalFormatting>
  <conditionalFormatting sqref="A73 A75:A76 A78">
    <cfRule type="cellIs" priority="556" dxfId="0" operator="greaterThan" stopIfTrue="1">
      <formula>"hoje()"</formula>
    </cfRule>
  </conditionalFormatting>
  <conditionalFormatting sqref="A73 A75:A76 A78">
    <cfRule type="cellIs" priority="555" dxfId="0" operator="greaterThan" stopIfTrue="1">
      <formula>"hoje()"</formula>
    </cfRule>
  </conditionalFormatting>
  <conditionalFormatting sqref="A73 A75:A76 A78">
    <cfRule type="cellIs" priority="554" dxfId="0" operator="greaterThan" stopIfTrue="1">
      <formula>"hoje()"</formula>
    </cfRule>
  </conditionalFormatting>
  <conditionalFormatting sqref="A73 A75:A76 A78">
    <cfRule type="cellIs" priority="553" dxfId="0" operator="greaterThan" stopIfTrue="1">
      <formula>"hoje()"</formula>
    </cfRule>
  </conditionalFormatting>
  <conditionalFormatting sqref="A73 A75:A76 A78">
    <cfRule type="cellIs" priority="552" dxfId="0" operator="greaterThan" stopIfTrue="1">
      <formula>"hoje()"</formula>
    </cfRule>
  </conditionalFormatting>
  <conditionalFormatting sqref="A73 A75:A76 A78">
    <cfRule type="cellIs" priority="551" dxfId="0" operator="greaterThan" stopIfTrue="1">
      <formula>"hoje()"</formula>
    </cfRule>
  </conditionalFormatting>
  <conditionalFormatting sqref="A73 A75:A76 A78">
    <cfRule type="cellIs" priority="550" dxfId="0" operator="greaterThan" stopIfTrue="1">
      <formula>"hoje()"</formula>
    </cfRule>
  </conditionalFormatting>
  <conditionalFormatting sqref="A73 A75:A76 A78">
    <cfRule type="cellIs" priority="549" dxfId="0" operator="greaterThan" stopIfTrue="1">
      <formula>"hoje()"</formula>
    </cfRule>
  </conditionalFormatting>
  <conditionalFormatting sqref="A73 A75:A76 A78">
    <cfRule type="cellIs" priority="548" dxfId="0" operator="greaterThan" stopIfTrue="1">
      <formula>"hoje()"</formula>
    </cfRule>
  </conditionalFormatting>
  <conditionalFormatting sqref="A73 A75:A76 A78">
    <cfRule type="cellIs" priority="547" dxfId="0" operator="greaterThan" stopIfTrue="1">
      <formula>"hoje()"</formula>
    </cfRule>
  </conditionalFormatting>
  <conditionalFormatting sqref="A73 A75:A76 A78">
    <cfRule type="cellIs" priority="546" dxfId="0" operator="greaterThan" stopIfTrue="1">
      <formula>"hoje()"</formula>
    </cfRule>
  </conditionalFormatting>
  <conditionalFormatting sqref="A73 A75:A76 A78">
    <cfRule type="cellIs" priority="545" dxfId="0" operator="greaterThan" stopIfTrue="1">
      <formula>"hoje()"</formula>
    </cfRule>
  </conditionalFormatting>
  <conditionalFormatting sqref="A73 A75:A76 A78">
    <cfRule type="cellIs" priority="544" dxfId="0" operator="greaterThan" stopIfTrue="1">
      <formula>"hoje()"</formula>
    </cfRule>
  </conditionalFormatting>
  <conditionalFormatting sqref="A73 A75:A76 A78">
    <cfRule type="cellIs" priority="543" dxfId="0" operator="greaterThan" stopIfTrue="1">
      <formula>"hoje()"</formula>
    </cfRule>
  </conditionalFormatting>
  <conditionalFormatting sqref="A73 A75:A76 A78">
    <cfRule type="cellIs" priority="542" dxfId="0" operator="greaterThan" stopIfTrue="1">
      <formula>"hoje()"</formula>
    </cfRule>
  </conditionalFormatting>
  <conditionalFormatting sqref="A73 A75:A76 A78">
    <cfRule type="cellIs" priority="541" dxfId="0" operator="greaterThan" stopIfTrue="1">
      <formula>"hoje()"</formula>
    </cfRule>
  </conditionalFormatting>
  <conditionalFormatting sqref="A73 A75:A76 A78">
    <cfRule type="cellIs" priority="540" dxfId="0" operator="greaterThan" stopIfTrue="1">
      <formula>"hoje()"</formula>
    </cfRule>
  </conditionalFormatting>
  <conditionalFormatting sqref="A73 A75:A76 A78">
    <cfRule type="cellIs" priority="539" dxfId="0" operator="greaterThan" stopIfTrue="1">
      <formula>"hoje()"</formula>
    </cfRule>
  </conditionalFormatting>
  <conditionalFormatting sqref="A74 A77">
    <cfRule type="cellIs" priority="538" dxfId="0" operator="greaterThan" stopIfTrue="1">
      <formula>"hoje()"</formula>
    </cfRule>
  </conditionalFormatting>
  <conditionalFormatting sqref="A74 A77">
    <cfRule type="cellIs" priority="537" dxfId="0" operator="greaterThan" stopIfTrue="1">
      <formula>"hoje()"</formula>
    </cfRule>
  </conditionalFormatting>
  <conditionalFormatting sqref="A74 A77">
    <cfRule type="cellIs" priority="536" dxfId="0" operator="greaterThan" stopIfTrue="1">
      <formula>"hoje()"</formula>
    </cfRule>
  </conditionalFormatting>
  <conditionalFormatting sqref="A74 A77">
    <cfRule type="cellIs" priority="535" dxfId="0" operator="greaterThan" stopIfTrue="1">
      <formula>"hoje()"</formula>
    </cfRule>
  </conditionalFormatting>
  <conditionalFormatting sqref="A74 A77">
    <cfRule type="cellIs" priority="534" dxfId="0" operator="greaterThan" stopIfTrue="1">
      <formula>"hoje()"</formula>
    </cfRule>
  </conditionalFormatting>
  <conditionalFormatting sqref="A74 A77">
    <cfRule type="cellIs" priority="533" dxfId="0" operator="greaterThan" stopIfTrue="1">
      <formula>"hoje()"</formula>
    </cfRule>
  </conditionalFormatting>
  <conditionalFormatting sqref="A74 A77">
    <cfRule type="cellIs" priority="532" dxfId="0" operator="greaterThan" stopIfTrue="1">
      <formula>"hoje()"</formula>
    </cfRule>
  </conditionalFormatting>
  <conditionalFormatting sqref="A74 A77">
    <cfRule type="cellIs" priority="531" dxfId="0" operator="greaterThan" stopIfTrue="1">
      <formula>"hoje()"</formula>
    </cfRule>
  </conditionalFormatting>
  <conditionalFormatting sqref="A74 A77">
    <cfRule type="cellIs" priority="530" dxfId="0" operator="greaterThan" stopIfTrue="1">
      <formula>"hoje()"</formula>
    </cfRule>
  </conditionalFormatting>
  <conditionalFormatting sqref="A74 A77">
    <cfRule type="cellIs" priority="529" dxfId="0" operator="greaterThan" stopIfTrue="1">
      <formula>"hoje()"</formula>
    </cfRule>
  </conditionalFormatting>
  <conditionalFormatting sqref="A74 A77">
    <cfRule type="cellIs" priority="528" dxfId="0" operator="greaterThan" stopIfTrue="1">
      <formula>"hoje()"</formula>
    </cfRule>
  </conditionalFormatting>
  <conditionalFormatting sqref="A74 A77">
    <cfRule type="cellIs" priority="527" dxfId="0" operator="greaterThan" stopIfTrue="1">
      <formula>"hoje()"</formula>
    </cfRule>
  </conditionalFormatting>
  <conditionalFormatting sqref="A74 A77">
    <cfRule type="cellIs" priority="526" dxfId="0" operator="greaterThan" stopIfTrue="1">
      <formula>"hoje()"</formula>
    </cfRule>
  </conditionalFormatting>
  <conditionalFormatting sqref="A74 A77">
    <cfRule type="cellIs" priority="525" dxfId="0" operator="greaterThan" stopIfTrue="1">
      <formula>"hoje()"</formula>
    </cfRule>
  </conditionalFormatting>
  <conditionalFormatting sqref="A74 A77">
    <cfRule type="cellIs" priority="524" dxfId="0" operator="greaterThan" stopIfTrue="1">
      <formula>"hoje()"</formula>
    </cfRule>
  </conditionalFormatting>
  <conditionalFormatting sqref="A74 A77">
    <cfRule type="cellIs" priority="523" dxfId="0" operator="greaterThan" stopIfTrue="1">
      <formula>"hoje()"</formula>
    </cfRule>
  </conditionalFormatting>
  <conditionalFormatting sqref="A74 A77">
    <cfRule type="cellIs" priority="522" dxfId="0" operator="greaterThan" stopIfTrue="1">
      <formula>"hoje()"</formula>
    </cfRule>
  </conditionalFormatting>
  <conditionalFormatting sqref="A74 A77">
    <cfRule type="cellIs" priority="521" dxfId="0" operator="greaterThan" stopIfTrue="1">
      <formula>"hoje()"</formula>
    </cfRule>
  </conditionalFormatting>
  <conditionalFormatting sqref="A74 A77">
    <cfRule type="cellIs" priority="520" dxfId="0" operator="greaterThan" stopIfTrue="1">
      <formula>"hoje()"</formula>
    </cfRule>
  </conditionalFormatting>
  <conditionalFormatting sqref="A74 A77">
    <cfRule type="cellIs" priority="519" dxfId="0" operator="greaterThan" stopIfTrue="1">
      <formula>"hoje()"</formula>
    </cfRule>
  </conditionalFormatting>
  <conditionalFormatting sqref="A74 A77">
    <cfRule type="cellIs" priority="518" dxfId="0" operator="greaterThan" stopIfTrue="1">
      <formula>"hoje()"</formula>
    </cfRule>
  </conditionalFormatting>
  <conditionalFormatting sqref="A74 A77">
    <cfRule type="cellIs" priority="517" dxfId="0" operator="greaterThan" stopIfTrue="1">
      <formula>"hoje()"</formula>
    </cfRule>
  </conditionalFormatting>
  <conditionalFormatting sqref="A74 A77">
    <cfRule type="cellIs" priority="516" dxfId="0" operator="greaterThan" stopIfTrue="1">
      <formula>"hoje()"</formula>
    </cfRule>
  </conditionalFormatting>
  <conditionalFormatting sqref="A74 A77">
    <cfRule type="cellIs" priority="515" dxfId="0" operator="greaterThan" stopIfTrue="1">
      <formula>"hoje()"</formula>
    </cfRule>
  </conditionalFormatting>
  <conditionalFormatting sqref="A74 A77">
    <cfRule type="cellIs" priority="514" dxfId="0" operator="greaterThan" stopIfTrue="1">
      <formula>"hoje()"</formula>
    </cfRule>
  </conditionalFormatting>
  <conditionalFormatting sqref="A74 A77">
    <cfRule type="cellIs" priority="513" dxfId="0" operator="greaterThan" stopIfTrue="1">
      <formula>"hoje()"</formula>
    </cfRule>
  </conditionalFormatting>
  <conditionalFormatting sqref="A74 A77">
    <cfRule type="cellIs" priority="512" dxfId="0" operator="greaterThan" stopIfTrue="1">
      <formula>"hoje()"</formula>
    </cfRule>
  </conditionalFormatting>
  <conditionalFormatting sqref="A74 A77">
    <cfRule type="cellIs" priority="511" dxfId="0" operator="greaterThan" stopIfTrue="1">
      <formula>"hoje()"</formula>
    </cfRule>
  </conditionalFormatting>
  <conditionalFormatting sqref="A74 A77">
    <cfRule type="cellIs" priority="510" dxfId="0" operator="greaterThan" stopIfTrue="1">
      <formula>"hoje()"</formula>
    </cfRule>
  </conditionalFormatting>
  <conditionalFormatting sqref="A74 A77">
    <cfRule type="cellIs" priority="509" dxfId="0" operator="greaterThan" stopIfTrue="1">
      <formula>"hoje()"</formula>
    </cfRule>
  </conditionalFormatting>
  <conditionalFormatting sqref="A74 A77">
    <cfRule type="cellIs" priority="508" dxfId="0" operator="greaterThan" stopIfTrue="1">
      <formula>"hoje()"</formula>
    </cfRule>
  </conditionalFormatting>
  <conditionalFormatting sqref="A74 A77">
    <cfRule type="cellIs" priority="507" dxfId="0" operator="greaterThan" stopIfTrue="1">
      <formula>"hoje()"</formula>
    </cfRule>
  </conditionalFormatting>
  <conditionalFormatting sqref="A74 A77">
    <cfRule type="cellIs" priority="506" dxfId="0" operator="greaterThan" stopIfTrue="1">
      <formula>"hoje()"</formula>
    </cfRule>
  </conditionalFormatting>
  <conditionalFormatting sqref="A74 A77">
    <cfRule type="cellIs" priority="505" dxfId="0" operator="greaterThan" stopIfTrue="1">
      <formula>"hoje()"</formula>
    </cfRule>
  </conditionalFormatting>
  <conditionalFormatting sqref="A74 A77">
    <cfRule type="cellIs" priority="504" dxfId="0" operator="greaterThan" stopIfTrue="1">
      <formula>"hoje()"</formula>
    </cfRule>
  </conditionalFormatting>
  <conditionalFormatting sqref="A74 A77">
    <cfRule type="cellIs" priority="503" dxfId="0" operator="greaterThan" stopIfTrue="1">
      <formula>"hoje()"</formula>
    </cfRule>
  </conditionalFormatting>
  <conditionalFormatting sqref="A74 A77">
    <cfRule type="cellIs" priority="502" dxfId="0" operator="greaterThan" stopIfTrue="1">
      <formula>"hoje()"</formula>
    </cfRule>
  </conditionalFormatting>
  <conditionalFormatting sqref="A74 A77">
    <cfRule type="cellIs" priority="501" dxfId="0" operator="greaterThan" stopIfTrue="1">
      <formula>"hoje()"</formula>
    </cfRule>
  </conditionalFormatting>
  <conditionalFormatting sqref="A74 A77">
    <cfRule type="cellIs" priority="500" dxfId="0" operator="greaterThan" stopIfTrue="1">
      <formula>"hoje()"</formula>
    </cfRule>
  </conditionalFormatting>
  <conditionalFormatting sqref="A74 A77">
    <cfRule type="cellIs" priority="499" dxfId="0" operator="greaterThan" stopIfTrue="1">
      <formula>"hoje()"</formula>
    </cfRule>
  </conditionalFormatting>
  <conditionalFormatting sqref="A74 A77">
    <cfRule type="cellIs" priority="498" dxfId="0" operator="greaterThan" stopIfTrue="1">
      <formula>"hoje()"</formula>
    </cfRule>
  </conditionalFormatting>
  <conditionalFormatting sqref="A74 A77">
    <cfRule type="cellIs" priority="497" dxfId="0" operator="greaterThan" stopIfTrue="1">
      <formula>"hoje()"</formula>
    </cfRule>
  </conditionalFormatting>
  <conditionalFormatting sqref="A74 A77">
    <cfRule type="cellIs" priority="496" dxfId="0" operator="greaterThan" stopIfTrue="1">
      <formula>"hoje()"</formula>
    </cfRule>
  </conditionalFormatting>
  <conditionalFormatting sqref="A74 A77">
    <cfRule type="cellIs" priority="495" dxfId="0" operator="greaterThan" stopIfTrue="1">
      <formula>"hoje()"</formula>
    </cfRule>
  </conditionalFormatting>
  <conditionalFormatting sqref="A74 A77">
    <cfRule type="cellIs" priority="494" dxfId="0" operator="greaterThan" stopIfTrue="1">
      <formula>"hoje()"</formula>
    </cfRule>
  </conditionalFormatting>
  <conditionalFormatting sqref="A74 A77">
    <cfRule type="cellIs" priority="493" dxfId="0" operator="greaterThan" stopIfTrue="1">
      <formula>"hoje()"</formula>
    </cfRule>
  </conditionalFormatting>
  <conditionalFormatting sqref="A74 A77">
    <cfRule type="cellIs" priority="492" dxfId="0" operator="greaterThan" stopIfTrue="1">
      <formula>"hoje()"</formula>
    </cfRule>
  </conditionalFormatting>
  <conditionalFormatting sqref="A74 A77">
    <cfRule type="cellIs" priority="491" dxfId="0" operator="greaterThan" stopIfTrue="1">
      <formula>"hoje()"</formula>
    </cfRule>
  </conditionalFormatting>
  <conditionalFormatting sqref="A74 A77">
    <cfRule type="cellIs" priority="490" dxfId="0" operator="greaterThan" stopIfTrue="1">
      <formula>"hoje()"</formula>
    </cfRule>
  </conditionalFormatting>
  <conditionalFormatting sqref="A74 A77">
    <cfRule type="cellIs" priority="489" dxfId="0" operator="greaterThan" stopIfTrue="1">
      <formula>"hoje()"</formula>
    </cfRule>
  </conditionalFormatting>
  <conditionalFormatting sqref="A74 A77">
    <cfRule type="cellIs" priority="488" dxfId="0" operator="greaterThan" stopIfTrue="1">
      <formula>"hoje()"</formula>
    </cfRule>
  </conditionalFormatting>
  <conditionalFormatting sqref="A74 A77">
    <cfRule type="cellIs" priority="487" dxfId="0" operator="greaterThan" stopIfTrue="1">
      <formula>"hoje()"</formula>
    </cfRule>
  </conditionalFormatting>
  <conditionalFormatting sqref="A74 A77">
    <cfRule type="cellIs" priority="486" dxfId="0" operator="greaterThan" stopIfTrue="1">
      <formula>"hoje()"</formula>
    </cfRule>
  </conditionalFormatting>
  <conditionalFormatting sqref="A74 A77">
    <cfRule type="cellIs" priority="485" dxfId="0" operator="greaterThan" stopIfTrue="1">
      <formula>"hoje()"</formula>
    </cfRule>
  </conditionalFormatting>
  <conditionalFormatting sqref="A74 A77">
    <cfRule type="cellIs" priority="484" dxfId="0" operator="greaterThan" stopIfTrue="1">
      <formula>"hoje()"</formula>
    </cfRule>
  </conditionalFormatting>
  <conditionalFormatting sqref="A74 A77">
    <cfRule type="cellIs" priority="483" dxfId="0" operator="greaterThan" stopIfTrue="1">
      <formula>"hoje()"</formula>
    </cfRule>
  </conditionalFormatting>
  <conditionalFormatting sqref="A74 A77">
    <cfRule type="cellIs" priority="482" dxfId="0" operator="greaterThan" stopIfTrue="1">
      <formula>"hoje()"</formula>
    </cfRule>
  </conditionalFormatting>
  <conditionalFormatting sqref="A75">
    <cfRule type="cellIs" priority="481" dxfId="0" operator="greaterThan" stopIfTrue="1">
      <formula>"hoje()"</formula>
    </cfRule>
  </conditionalFormatting>
  <conditionalFormatting sqref="A75">
    <cfRule type="cellIs" priority="480" dxfId="0" operator="greaterThan" stopIfTrue="1">
      <formula>"hoje()"</formula>
    </cfRule>
  </conditionalFormatting>
  <conditionalFormatting sqref="A75">
    <cfRule type="cellIs" priority="479" dxfId="0" operator="greaterThan" stopIfTrue="1">
      <formula>"hoje()"</formula>
    </cfRule>
  </conditionalFormatting>
  <conditionalFormatting sqref="A75">
    <cfRule type="cellIs" priority="478" dxfId="0" operator="greaterThan" stopIfTrue="1">
      <formula>"hoje()"</formula>
    </cfRule>
  </conditionalFormatting>
  <conditionalFormatting sqref="A75">
    <cfRule type="cellIs" priority="477" dxfId="0" operator="greaterThan" stopIfTrue="1">
      <formula>"hoje()"</formula>
    </cfRule>
  </conditionalFormatting>
  <conditionalFormatting sqref="A75">
    <cfRule type="cellIs" priority="476" dxfId="0" operator="greaterThan" stopIfTrue="1">
      <formula>"hoje()"</formula>
    </cfRule>
  </conditionalFormatting>
  <conditionalFormatting sqref="A75">
    <cfRule type="cellIs" priority="475" dxfId="0" operator="greaterThan" stopIfTrue="1">
      <formula>"hoje()"</formula>
    </cfRule>
  </conditionalFormatting>
  <conditionalFormatting sqref="A75">
    <cfRule type="cellIs" priority="474" dxfId="0" operator="greaterThan" stopIfTrue="1">
      <formula>"hoje()"</formula>
    </cfRule>
  </conditionalFormatting>
  <conditionalFormatting sqref="A75">
    <cfRule type="cellIs" priority="473" dxfId="0" operator="greaterThan" stopIfTrue="1">
      <formula>"hoje()"</formula>
    </cfRule>
  </conditionalFormatting>
  <conditionalFormatting sqref="A75">
    <cfRule type="cellIs" priority="472" dxfId="0" operator="greaterThan" stopIfTrue="1">
      <formula>"hoje()"</formula>
    </cfRule>
  </conditionalFormatting>
  <conditionalFormatting sqref="A75">
    <cfRule type="cellIs" priority="471" dxfId="0" operator="greaterThan" stopIfTrue="1">
      <formula>"hoje()"</formula>
    </cfRule>
  </conditionalFormatting>
  <conditionalFormatting sqref="A75">
    <cfRule type="cellIs" priority="470" dxfId="0" operator="greaterThan" stopIfTrue="1">
      <formula>"hoje()"</formula>
    </cfRule>
  </conditionalFormatting>
  <conditionalFormatting sqref="A75">
    <cfRule type="cellIs" priority="469" dxfId="0" operator="greaterThan" stopIfTrue="1">
      <formula>"hoje()"</formula>
    </cfRule>
  </conditionalFormatting>
  <conditionalFormatting sqref="A75">
    <cfRule type="cellIs" priority="468" dxfId="0" operator="greaterThan" stopIfTrue="1">
      <formula>"hoje()"</formula>
    </cfRule>
  </conditionalFormatting>
  <conditionalFormatting sqref="A75">
    <cfRule type="cellIs" priority="467" dxfId="0" operator="greaterThan" stopIfTrue="1">
      <formula>"hoje()"</formula>
    </cfRule>
  </conditionalFormatting>
  <conditionalFormatting sqref="A75">
    <cfRule type="cellIs" priority="466" dxfId="0" operator="greaterThan" stopIfTrue="1">
      <formula>"hoje()"</formula>
    </cfRule>
  </conditionalFormatting>
  <conditionalFormatting sqref="A75">
    <cfRule type="cellIs" priority="465" dxfId="0" operator="greaterThan" stopIfTrue="1">
      <formula>"hoje()"</formula>
    </cfRule>
  </conditionalFormatting>
  <conditionalFormatting sqref="A75">
    <cfRule type="cellIs" priority="464" dxfId="0" operator="greaterThan" stopIfTrue="1">
      <formula>"hoje()"</formula>
    </cfRule>
  </conditionalFormatting>
  <conditionalFormatting sqref="A75">
    <cfRule type="cellIs" priority="463" dxfId="0" operator="greaterThan" stopIfTrue="1">
      <formula>"hoje()"</formula>
    </cfRule>
  </conditionalFormatting>
  <conditionalFormatting sqref="A75">
    <cfRule type="cellIs" priority="462" dxfId="0" operator="greaterThan" stopIfTrue="1">
      <formula>"hoje()"</formula>
    </cfRule>
  </conditionalFormatting>
  <conditionalFormatting sqref="A75">
    <cfRule type="cellIs" priority="461" dxfId="0" operator="greaterThan" stopIfTrue="1">
      <formula>"hoje()"</formula>
    </cfRule>
  </conditionalFormatting>
  <conditionalFormatting sqref="A75">
    <cfRule type="cellIs" priority="460" dxfId="0" operator="greaterThan" stopIfTrue="1">
      <formula>"hoje()"</formula>
    </cfRule>
  </conditionalFormatting>
  <conditionalFormatting sqref="A75">
    <cfRule type="cellIs" priority="459" dxfId="0" operator="greaterThan" stopIfTrue="1">
      <formula>"hoje()"</formula>
    </cfRule>
  </conditionalFormatting>
  <conditionalFormatting sqref="A75">
    <cfRule type="cellIs" priority="458" dxfId="0" operator="greaterThan" stopIfTrue="1">
      <formula>"hoje()"</formula>
    </cfRule>
  </conditionalFormatting>
  <conditionalFormatting sqref="A75">
    <cfRule type="cellIs" priority="457" dxfId="0" operator="greaterThan" stopIfTrue="1">
      <formula>"hoje()"</formula>
    </cfRule>
  </conditionalFormatting>
  <conditionalFormatting sqref="A75">
    <cfRule type="cellIs" priority="456" dxfId="0" operator="greaterThan" stopIfTrue="1">
      <formula>"hoje()"</formula>
    </cfRule>
  </conditionalFormatting>
  <conditionalFormatting sqref="A75">
    <cfRule type="cellIs" priority="455" dxfId="0" operator="greaterThan" stopIfTrue="1">
      <formula>"hoje()"</formula>
    </cfRule>
  </conditionalFormatting>
  <conditionalFormatting sqref="A75">
    <cfRule type="cellIs" priority="454" dxfId="0" operator="greaterThan" stopIfTrue="1">
      <formula>"hoje()"</formula>
    </cfRule>
  </conditionalFormatting>
  <conditionalFormatting sqref="A75">
    <cfRule type="cellIs" priority="453" dxfId="0" operator="greaterThan" stopIfTrue="1">
      <formula>"hoje()"</formula>
    </cfRule>
  </conditionalFormatting>
  <conditionalFormatting sqref="A75">
    <cfRule type="cellIs" priority="452" dxfId="0" operator="greaterThan" stopIfTrue="1">
      <formula>"hoje()"</formula>
    </cfRule>
  </conditionalFormatting>
  <conditionalFormatting sqref="A75">
    <cfRule type="cellIs" priority="451" dxfId="0" operator="greaterThan" stopIfTrue="1">
      <formula>"hoje()"</formula>
    </cfRule>
  </conditionalFormatting>
  <conditionalFormatting sqref="A75">
    <cfRule type="cellIs" priority="450" dxfId="0" operator="greaterThan" stopIfTrue="1">
      <formula>"hoje()"</formula>
    </cfRule>
  </conditionalFormatting>
  <conditionalFormatting sqref="A75">
    <cfRule type="cellIs" priority="449" dxfId="0" operator="greaterThan" stopIfTrue="1">
      <formula>"hoje()"</formula>
    </cfRule>
  </conditionalFormatting>
  <conditionalFormatting sqref="A75">
    <cfRule type="cellIs" priority="448" dxfId="0" operator="greaterThan" stopIfTrue="1">
      <formula>"hoje()"</formula>
    </cfRule>
  </conditionalFormatting>
  <conditionalFormatting sqref="A75">
    <cfRule type="cellIs" priority="447" dxfId="0" operator="greaterThan" stopIfTrue="1">
      <formula>"hoje()"</formula>
    </cfRule>
  </conditionalFormatting>
  <conditionalFormatting sqref="A75">
    <cfRule type="cellIs" priority="446" dxfId="0" operator="greaterThan" stopIfTrue="1">
      <formula>"hoje()"</formula>
    </cfRule>
  </conditionalFormatting>
  <conditionalFormatting sqref="A75">
    <cfRule type="cellIs" priority="445" dxfId="0" operator="greaterThan" stopIfTrue="1">
      <formula>"hoje()"</formula>
    </cfRule>
  </conditionalFormatting>
  <conditionalFormatting sqref="A75">
    <cfRule type="cellIs" priority="444" dxfId="0" operator="greaterThan" stopIfTrue="1">
      <formula>"hoje()"</formula>
    </cfRule>
  </conditionalFormatting>
  <conditionalFormatting sqref="A75">
    <cfRule type="cellIs" priority="443" dxfId="0" operator="greaterThan" stopIfTrue="1">
      <formula>"hoje()"</formula>
    </cfRule>
  </conditionalFormatting>
  <conditionalFormatting sqref="A75">
    <cfRule type="cellIs" priority="442" dxfId="0" operator="greaterThan" stopIfTrue="1">
      <formula>"hoje()"</formula>
    </cfRule>
  </conditionalFormatting>
  <conditionalFormatting sqref="A75">
    <cfRule type="cellIs" priority="441" dxfId="0" operator="greaterThan" stopIfTrue="1">
      <formula>"hoje()"</formula>
    </cfRule>
  </conditionalFormatting>
  <conditionalFormatting sqref="A75">
    <cfRule type="cellIs" priority="440" dxfId="0" operator="greaterThan" stopIfTrue="1">
      <formula>"hoje()"</formula>
    </cfRule>
  </conditionalFormatting>
  <conditionalFormatting sqref="A75">
    <cfRule type="cellIs" priority="439" dxfId="0" operator="greaterThan" stopIfTrue="1">
      <formula>"hoje()"</formula>
    </cfRule>
  </conditionalFormatting>
  <conditionalFormatting sqref="A75">
    <cfRule type="cellIs" priority="438" dxfId="0" operator="greaterThan" stopIfTrue="1">
      <formula>"hoje()"</formula>
    </cfRule>
  </conditionalFormatting>
  <conditionalFormatting sqref="A75">
    <cfRule type="cellIs" priority="437" dxfId="0" operator="greaterThan" stopIfTrue="1">
      <formula>"hoje()"</formula>
    </cfRule>
  </conditionalFormatting>
  <conditionalFormatting sqref="A75">
    <cfRule type="cellIs" priority="436" dxfId="0" operator="greaterThan" stopIfTrue="1">
      <formula>"hoje()"</formula>
    </cfRule>
  </conditionalFormatting>
  <conditionalFormatting sqref="A75">
    <cfRule type="cellIs" priority="435" dxfId="0" operator="greaterThan" stopIfTrue="1">
      <formula>"hoje()"</formula>
    </cfRule>
  </conditionalFormatting>
  <conditionalFormatting sqref="A75">
    <cfRule type="cellIs" priority="434" dxfId="0" operator="greaterThan" stopIfTrue="1">
      <formula>"hoje()"</formula>
    </cfRule>
  </conditionalFormatting>
  <conditionalFormatting sqref="A75">
    <cfRule type="cellIs" priority="433" dxfId="0" operator="greaterThan" stopIfTrue="1">
      <formula>"hoje()"</formula>
    </cfRule>
  </conditionalFormatting>
  <conditionalFormatting sqref="A75">
    <cfRule type="cellIs" priority="432" dxfId="0" operator="greaterThan" stopIfTrue="1">
      <formula>"hoje()"</formula>
    </cfRule>
  </conditionalFormatting>
  <conditionalFormatting sqref="A75">
    <cfRule type="cellIs" priority="431" dxfId="0" operator="greaterThan" stopIfTrue="1">
      <formula>"hoje()"</formula>
    </cfRule>
  </conditionalFormatting>
  <conditionalFormatting sqref="A75">
    <cfRule type="cellIs" priority="430" dxfId="0" operator="greaterThan" stopIfTrue="1">
      <formula>"hoje()"</formula>
    </cfRule>
  </conditionalFormatting>
  <conditionalFormatting sqref="A75">
    <cfRule type="cellIs" priority="429" dxfId="0" operator="greaterThan" stopIfTrue="1">
      <formula>"hoje()"</formula>
    </cfRule>
  </conditionalFormatting>
  <conditionalFormatting sqref="A75">
    <cfRule type="cellIs" priority="428" dxfId="0" operator="greaterThan" stopIfTrue="1">
      <formula>"hoje()"</formula>
    </cfRule>
  </conditionalFormatting>
  <conditionalFormatting sqref="A75">
    <cfRule type="cellIs" priority="427" dxfId="0" operator="greaterThan" stopIfTrue="1">
      <formula>"hoje()"</formula>
    </cfRule>
  </conditionalFormatting>
  <conditionalFormatting sqref="A75">
    <cfRule type="cellIs" priority="426" dxfId="0" operator="greaterThan" stopIfTrue="1">
      <formula>"hoje()"</formula>
    </cfRule>
  </conditionalFormatting>
  <conditionalFormatting sqref="A75">
    <cfRule type="cellIs" priority="425" dxfId="0" operator="greaterThan" stopIfTrue="1">
      <formula>"hoje()"</formula>
    </cfRule>
  </conditionalFormatting>
  <conditionalFormatting sqref="A75">
    <cfRule type="cellIs" priority="424" dxfId="0" operator="greaterThan" stopIfTrue="1">
      <formula>"hoje()"</formula>
    </cfRule>
  </conditionalFormatting>
  <conditionalFormatting sqref="A75">
    <cfRule type="cellIs" priority="423" dxfId="0" operator="greaterThan" stopIfTrue="1">
      <formula>"hoje()"</formula>
    </cfRule>
  </conditionalFormatting>
  <conditionalFormatting sqref="A75">
    <cfRule type="cellIs" priority="422" dxfId="0" operator="greaterThan" stopIfTrue="1">
      <formula>"hoje()"</formula>
    </cfRule>
  </conditionalFormatting>
  <conditionalFormatting sqref="A75">
    <cfRule type="cellIs" priority="421" dxfId="0" operator="greaterThan" stopIfTrue="1">
      <formula>"hoje()"</formula>
    </cfRule>
  </conditionalFormatting>
  <conditionalFormatting sqref="A75">
    <cfRule type="cellIs" priority="420" dxfId="0" operator="greaterThan" stopIfTrue="1">
      <formula>"hoje()"</formula>
    </cfRule>
  </conditionalFormatting>
  <conditionalFormatting sqref="A76">
    <cfRule type="cellIs" priority="419" dxfId="0" operator="greaterThan" stopIfTrue="1">
      <formula>"hoje()"</formula>
    </cfRule>
  </conditionalFormatting>
  <conditionalFormatting sqref="A76">
    <cfRule type="cellIs" priority="418" dxfId="0" operator="greaterThan" stopIfTrue="1">
      <formula>"hoje()"</formula>
    </cfRule>
  </conditionalFormatting>
  <conditionalFormatting sqref="A76">
    <cfRule type="cellIs" priority="417" dxfId="0" operator="greaterThan" stopIfTrue="1">
      <formula>"hoje()"</formula>
    </cfRule>
  </conditionalFormatting>
  <conditionalFormatting sqref="A76">
    <cfRule type="cellIs" priority="416" dxfId="0" operator="greaterThan" stopIfTrue="1">
      <formula>"hoje()"</formula>
    </cfRule>
  </conditionalFormatting>
  <conditionalFormatting sqref="A76">
    <cfRule type="cellIs" priority="415" dxfId="0" operator="greaterThan" stopIfTrue="1">
      <formula>"hoje()"</formula>
    </cfRule>
  </conditionalFormatting>
  <conditionalFormatting sqref="A76">
    <cfRule type="cellIs" priority="414" dxfId="0" operator="greaterThan" stopIfTrue="1">
      <formula>"hoje()"</formula>
    </cfRule>
  </conditionalFormatting>
  <conditionalFormatting sqref="A76">
    <cfRule type="cellIs" priority="413" dxfId="0" operator="greaterThan" stopIfTrue="1">
      <formula>"hoje()"</formula>
    </cfRule>
  </conditionalFormatting>
  <conditionalFormatting sqref="A76">
    <cfRule type="cellIs" priority="412" dxfId="0" operator="greaterThan" stopIfTrue="1">
      <formula>"hoje()"</formula>
    </cfRule>
  </conditionalFormatting>
  <conditionalFormatting sqref="A76">
    <cfRule type="cellIs" priority="411" dxfId="0" operator="greaterThan" stopIfTrue="1">
      <formula>"hoje()"</formula>
    </cfRule>
  </conditionalFormatting>
  <conditionalFormatting sqref="A76">
    <cfRule type="cellIs" priority="410" dxfId="0" operator="greaterThan" stopIfTrue="1">
      <formula>"hoje()"</formula>
    </cfRule>
  </conditionalFormatting>
  <conditionalFormatting sqref="A76">
    <cfRule type="cellIs" priority="409" dxfId="0" operator="greaterThan" stopIfTrue="1">
      <formula>"hoje()"</formula>
    </cfRule>
  </conditionalFormatting>
  <conditionalFormatting sqref="A76">
    <cfRule type="cellIs" priority="408" dxfId="0" operator="greaterThan" stopIfTrue="1">
      <formula>"hoje()"</formula>
    </cfRule>
  </conditionalFormatting>
  <conditionalFormatting sqref="A76">
    <cfRule type="cellIs" priority="407" dxfId="0" operator="greaterThan" stopIfTrue="1">
      <formula>"hoje()"</formula>
    </cfRule>
  </conditionalFormatting>
  <conditionalFormatting sqref="A76">
    <cfRule type="cellIs" priority="406" dxfId="0" operator="greaterThan" stopIfTrue="1">
      <formula>"hoje()"</formula>
    </cfRule>
  </conditionalFormatting>
  <conditionalFormatting sqref="A76">
    <cfRule type="cellIs" priority="405" dxfId="0" operator="greaterThan" stopIfTrue="1">
      <formula>"hoje()"</formula>
    </cfRule>
  </conditionalFormatting>
  <conditionalFormatting sqref="A76">
    <cfRule type="cellIs" priority="404" dxfId="0" operator="greaterThan" stopIfTrue="1">
      <formula>"hoje()"</formula>
    </cfRule>
  </conditionalFormatting>
  <conditionalFormatting sqref="A76">
    <cfRule type="cellIs" priority="403" dxfId="0" operator="greaterThan" stopIfTrue="1">
      <formula>"hoje()"</formula>
    </cfRule>
  </conditionalFormatting>
  <conditionalFormatting sqref="A76">
    <cfRule type="cellIs" priority="402" dxfId="0" operator="greaterThan" stopIfTrue="1">
      <formula>"hoje()"</formula>
    </cfRule>
  </conditionalFormatting>
  <conditionalFormatting sqref="A76">
    <cfRule type="cellIs" priority="401" dxfId="0" operator="greaterThan" stopIfTrue="1">
      <formula>"hoje()"</formula>
    </cfRule>
  </conditionalFormatting>
  <conditionalFormatting sqref="A76">
    <cfRule type="cellIs" priority="400" dxfId="0" operator="greaterThan" stopIfTrue="1">
      <formula>"hoje()"</formula>
    </cfRule>
  </conditionalFormatting>
  <conditionalFormatting sqref="A76">
    <cfRule type="cellIs" priority="399" dxfId="0" operator="greaterThan" stopIfTrue="1">
      <formula>"hoje()"</formula>
    </cfRule>
  </conditionalFormatting>
  <conditionalFormatting sqref="A76">
    <cfRule type="cellIs" priority="398" dxfId="0" operator="greaterThan" stopIfTrue="1">
      <formula>"hoje()"</formula>
    </cfRule>
  </conditionalFormatting>
  <conditionalFormatting sqref="A76">
    <cfRule type="cellIs" priority="397" dxfId="0" operator="greaterThan" stopIfTrue="1">
      <formula>"hoje()"</formula>
    </cfRule>
  </conditionalFormatting>
  <conditionalFormatting sqref="A76">
    <cfRule type="cellIs" priority="396" dxfId="0" operator="greaterThan" stopIfTrue="1">
      <formula>"hoje()"</formula>
    </cfRule>
  </conditionalFormatting>
  <conditionalFormatting sqref="A76">
    <cfRule type="cellIs" priority="395" dxfId="0" operator="greaterThan" stopIfTrue="1">
      <formula>"hoje()"</formula>
    </cfRule>
  </conditionalFormatting>
  <conditionalFormatting sqref="A76">
    <cfRule type="cellIs" priority="394" dxfId="0" operator="greaterThan" stopIfTrue="1">
      <formula>"hoje()"</formula>
    </cfRule>
  </conditionalFormatting>
  <conditionalFormatting sqref="A76">
    <cfRule type="cellIs" priority="393" dxfId="0" operator="greaterThan" stopIfTrue="1">
      <formula>"hoje()"</formula>
    </cfRule>
  </conditionalFormatting>
  <conditionalFormatting sqref="A76">
    <cfRule type="cellIs" priority="392" dxfId="0" operator="greaterThan" stopIfTrue="1">
      <formula>"hoje()"</formula>
    </cfRule>
  </conditionalFormatting>
  <conditionalFormatting sqref="A76">
    <cfRule type="cellIs" priority="391" dxfId="0" operator="greaterThan" stopIfTrue="1">
      <formula>"hoje()"</formula>
    </cfRule>
  </conditionalFormatting>
  <conditionalFormatting sqref="A76">
    <cfRule type="cellIs" priority="390" dxfId="0" operator="greaterThan" stopIfTrue="1">
      <formula>"hoje()"</formula>
    </cfRule>
  </conditionalFormatting>
  <conditionalFormatting sqref="A76">
    <cfRule type="cellIs" priority="389" dxfId="0" operator="greaterThan" stopIfTrue="1">
      <formula>"hoje()"</formula>
    </cfRule>
  </conditionalFormatting>
  <conditionalFormatting sqref="A76">
    <cfRule type="cellIs" priority="388" dxfId="0" operator="greaterThan" stopIfTrue="1">
      <formula>"hoje()"</formula>
    </cfRule>
  </conditionalFormatting>
  <conditionalFormatting sqref="A76">
    <cfRule type="cellIs" priority="387" dxfId="0" operator="greaterThan" stopIfTrue="1">
      <formula>"hoje()"</formula>
    </cfRule>
  </conditionalFormatting>
  <conditionalFormatting sqref="A76">
    <cfRule type="cellIs" priority="386" dxfId="0" operator="greaterThan" stopIfTrue="1">
      <formula>"hoje()"</formula>
    </cfRule>
  </conditionalFormatting>
  <conditionalFormatting sqref="A76">
    <cfRule type="cellIs" priority="385" dxfId="0" operator="greaterThan" stopIfTrue="1">
      <formula>"hoje()"</formula>
    </cfRule>
  </conditionalFormatting>
  <conditionalFormatting sqref="A76">
    <cfRule type="cellIs" priority="384" dxfId="0" operator="greaterThan" stopIfTrue="1">
      <formula>"hoje()"</formula>
    </cfRule>
  </conditionalFormatting>
  <conditionalFormatting sqref="A76">
    <cfRule type="cellIs" priority="383" dxfId="0" operator="greaterThan" stopIfTrue="1">
      <formula>"hoje()"</formula>
    </cfRule>
  </conditionalFormatting>
  <conditionalFormatting sqref="A76">
    <cfRule type="cellIs" priority="382" dxfId="0" operator="greaterThan" stopIfTrue="1">
      <formula>"hoje()"</formula>
    </cfRule>
  </conditionalFormatting>
  <conditionalFormatting sqref="A76">
    <cfRule type="cellIs" priority="381" dxfId="0" operator="greaterThan" stopIfTrue="1">
      <formula>"hoje()"</formula>
    </cfRule>
  </conditionalFormatting>
  <conditionalFormatting sqref="A76">
    <cfRule type="cellIs" priority="380" dxfId="0" operator="greaterThan" stopIfTrue="1">
      <formula>"hoje()"</formula>
    </cfRule>
  </conditionalFormatting>
  <conditionalFormatting sqref="A76">
    <cfRule type="cellIs" priority="379" dxfId="0" operator="greaterThan" stopIfTrue="1">
      <formula>"hoje()"</formula>
    </cfRule>
  </conditionalFormatting>
  <conditionalFormatting sqref="A76">
    <cfRule type="cellIs" priority="378" dxfId="0" operator="greaterThan" stopIfTrue="1">
      <formula>"hoje()"</formula>
    </cfRule>
  </conditionalFormatting>
  <conditionalFormatting sqref="A76">
    <cfRule type="cellIs" priority="377" dxfId="0" operator="greaterThan" stopIfTrue="1">
      <formula>"hoje()"</formula>
    </cfRule>
  </conditionalFormatting>
  <conditionalFormatting sqref="A76">
    <cfRule type="cellIs" priority="376" dxfId="0" operator="greaterThan" stopIfTrue="1">
      <formula>"hoje()"</formula>
    </cfRule>
  </conditionalFormatting>
  <conditionalFormatting sqref="A76">
    <cfRule type="cellIs" priority="375" dxfId="0" operator="greaterThan" stopIfTrue="1">
      <formula>"hoje()"</formula>
    </cfRule>
  </conditionalFormatting>
  <conditionalFormatting sqref="A76">
    <cfRule type="cellIs" priority="374" dxfId="0" operator="greaterThan" stopIfTrue="1">
      <formula>"hoje()"</formula>
    </cfRule>
  </conditionalFormatting>
  <conditionalFormatting sqref="A76">
    <cfRule type="cellIs" priority="373" dxfId="0" operator="greaterThan" stopIfTrue="1">
      <formula>"hoje()"</formula>
    </cfRule>
  </conditionalFormatting>
  <conditionalFormatting sqref="A76">
    <cfRule type="cellIs" priority="372" dxfId="0" operator="greaterThan" stopIfTrue="1">
      <formula>"hoje()"</formula>
    </cfRule>
  </conditionalFormatting>
  <conditionalFormatting sqref="A76">
    <cfRule type="cellIs" priority="371" dxfId="0" operator="greaterThan" stopIfTrue="1">
      <formula>"hoje()"</formula>
    </cfRule>
  </conditionalFormatting>
  <conditionalFormatting sqref="A76">
    <cfRule type="cellIs" priority="370" dxfId="0" operator="greaterThan" stopIfTrue="1">
      <formula>"hoje()"</formula>
    </cfRule>
  </conditionalFormatting>
  <conditionalFormatting sqref="A76">
    <cfRule type="cellIs" priority="369" dxfId="0" operator="greaterThan" stopIfTrue="1">
      <formula>"hoje()"</formula>
    </cfRule>
  </conditionalFormatting>
  <conditionalFormatting sqref="A76">
    <cfRule type="cellIs" priority="368" dxfId="0" operator="greaterThan" stopIfTrue="1">
      <formula>"hoje()"</formula>
    </cfRule>
  </conditionalFormatting>
  <conditionalFormatting sqref="A76">
    <cfRule type="cellIs" priority="367" dxfId="0" operator="greaterThan" stopIfTrue="1">
      <formula>"hoje()"</formula>
    </cfRule>
  </conditionalFormatting>
  <conditionalFormatting sqref="A76">
    <cfRule type="cellIs" priority="366" dxfId="0" operator="greaterThan" stopIfTrue="1">
      <formula>"hoje()"</formula>
    </cfRule>
  </conditionalFormatting>
  <conditionalFormatting sqref="A76">
    <cfRule type="cellIs" priority="365" dxfId="0" operator="greaterThan" stopIfTrue="1">
      <formula>"hoje()"</formula>
    </cfRule>
  </conditionalFormatting>
  <conditionalFormatting sqref="A76">
    <cfRule type="cellIs" priority="364" dxfId="0" operator="greaterThan" stopIfTrue="1">
      <formula>"hoje()"</formula>
    </cfRule>
  </conditionalFormatting>
  <conditionalFormatting sqref="A76">
    <cfRule type="cellIs" priority="363" dxfId="0" operator="greaterThan" stopIfTrue="1">
      <formula>"hoje()"</formula>
    </cfRule>
  </conditionalFormatting>
  <conditionalFormatting sqref="A76">
    <cfRule type="cellIs" priority="362" dxfId="0" operator="greaterThan" stopIfTrue="1">
      <formula>"hoje()"</formula>
    </cfRule>
  </conditionalFormatting>
  <conditionalFormatting sqref="A76">
    <cfRule type="cellIs" priority="361" dxfId="0" operator="greaterThan" stopIfTrue="1">
      <formula>"hoje()"</formula>
    </cfRule>
  </conditionalFormatting>
  <conditionalFormatting sqref="A76">
    <cfRule type="cellIs" priority="360" dxfId="0" operator="greaterThan" stopIfTrue="1">
      <formula>"hoje()"</formula>
    </cfRule>
  </conditionalFormatting>
  <conditionalFormatting sqref="A76">
    <cfRule type="cellIs" priority="359" dxfId="0" operator="greaterThan" stopIfTrue="1">
      <formula>"hoje()"</formula>
    </cfRule>
  </conditionalFormatting>
  <conditionalFormatting sqref="A76">
    <cfRule type="cellIs" priority="358" dxfId="0" operator="greaterThan" stopIfTrue="1">
      <formula>"hoje()"</formula>
    </cfRule>
  </conditionalFormatting>
  <conditionalFormatting sqref="A76">
    <cfRule type="cellIs" priority="357" dxfId="0" operator="greaterThan" stopIfTrue="1">
      <formula>"hoje()"</formula>
    </cfRule>
  </conditionalFormatting>
  <conditionalFormatting sqref="A76">
    <cfRule type="cellIs" priority="356" dxfId="0" operator="greaterThan" stopIfTrue="1">
      <formula>"hoje()"</formula>
    </cfRule>
  </conditionalFormatting>
  <conditionalFormatting sqref="A76">
    <cfRule type="cellIs" priority="355" dxfId="0" operator="greaterThan" stopIfTrue="1">
      <formula>"hoje()"</formula>
    </cfRule>
  </conditionalFormatting>
  <conditionalFormatting sqref="A76">
    <cfRule type="cellIs" priority="354" dxfId="0" operator="greaterThan" stopIfTrue="1">
      <formula>"hoje()"</formula>
    </cfRule>
  </conditionalFormatting>
  <conditionalFormatting sqref="A76">
    <cfRule type="cellIs" priority="353" dxfId="0" operator="greaterThan" stopIfTrue="1">
      <formula>"hoje()"</formula>
    </cfRule>
  </conditionalFormatting>
  <conditionalFormatting sqref="A76">
    <cfRule type="cellIs" priority="352" dxfId="0" operator="greaterThan" stopIfTrue="1">
      <formula>"hoje()"</formula>
    </cfRule>
  </conditionalFormatting>
  <conditionalFormatting sqref="A76">
    <cfRule type="cellIs" priority="351" dxfId="0" operator="greaterThan" stopIfTrue="1">
      <formula>"hoje()"</formula>
    </cfRule>
  </conditionalFormatting>
  <conditionalFormatting sqref="A76">
    <cfRule type="cellIs" priority="350" dxfId="0" operator="greaterThan" stopIfTrue="1">
      <formula>"hoje()"</formula>
    </cfRule>
  </conditionalFormatting>
  <conditionalFormatting sqref="A76">
    <cfRule type="cellIs" priority="349" dxfId="0" operator="greaterThan" stopIfTrue="1">
      <formula>"hoje()"</formula>
    </cfRule>
  </conditionalFormatting>
  <conditionalFormatting sqref="A76">
    <cfRule type="cellIs" priority="348" dxfId="0" operator="greaterThan" stopIfTrue="1">
      <formula>"hoje()"</formula>
    </cfRule>
  </conditionalFormatting>
  <conditionalFormatting sqref="A76">
    <cfRule type="cellIs" priority="347" dxfId="0" operator="greaterThan" stopIfTrue="1">
      <formula>"hoje()"</formula>
    </cfRule>
  </conditionalFormatting>
  <conditionalFormatting sqref="A76">
    <cfRule type="cellIs" priority="346" dxfId="0" operator="greaterThan" stopIfTrue="1">
      <formula>"hoje()"</formula>
    </cfRule>
  </conditionalFormatting>
  <conditionalFormatting sqref="A76">
    <cfRule type="cellIs" priority="345" dxfId="0" operator="greaterThan" stopIfTrue="1">
      <formula>"hoje()"</formula>
    </cfRule>
  </conditionalFormatting>
  <conditionalFormatting sqref="A76">
    <cfRule type="cellIs" priority="344" dxfId="0" operator="greaterThan" stopIfTrue="1">
      <formula>"hoje()"</formula>
    </cfRule>
  </conditionalFormatting>
  <conditionalFormatting sqref="A76">
    <cfRule type="cellIs" priority="343" dxfId="0" operator="greaterThan" stopIfTrue="1">
      <formula>"hoje()"</formula>
    </cfRule>
  </conditionalFormatting>
  <conditionalFormatting sqref="A76">
    <cfRule type="cellIs" priority="342" dxfId="0" operator="greaterThan" stopIfTrue="1">
      <formula>"hoje()"</formula>
    </cfRule>
  </conditionalFormatting>
  <conditionalFormatting sqref="A76">
    <cfRule type="cellIs" priority="341" dxfId="0" operator="greaterThan" stopIfTrue="1">
      <formula>"hoje()"</formula>
    </cfRule>
  </conditionalFormatting>
  <conditionalFormatting sqref="A76">
    <cfRule type="cellIs" priority="340" dxfId="0" operator="greaterThan" stopIfTrue="1">
      <formula>"hoje()"</formula>
    </cfRule>
  </conditionalFormatting>
  <conditionalFormatting sqref="A76">
    <cfRule type="cellIs" priority="339" dxfId="0" operator="greaterThan" stopIfTrue="1">
      <formula>"hoje()"</formula>
    </cfRule>
  </conditionalFormatting>
  <conditionalFormatting sqref="A76">
    <cfRule type="cellIs" priority="338" dxfId="0" operator="greaterThan" stopIfTrue="1">
      <formula>"hoje()"</formula>
    </cfRule>
  </conditionalFormatting>
  <conditionalFormatting sqref="A76">
    <cfRule type="cellIs" priority="337" dxfId="0" operator="greaterThan" stopIfTrue="1">
      <formula>"hoje()"</formula>
    </cfRule>
  </conditionalFormatting>
  <conditionalFormatting sqref="A76">
    <cfRule type="cellIs" priority="336" dxfId="0" operator="greaterThan" stopIfTrue="1">
      <formula>"hoje()"</formula>
    </cfRule>
  </conditionalFormatting>
  <conditionalFormatting sqref="A76">
    <cfRule type="cellIs" priority="335" dxfId="0" operator="greaterThan" stopIfTrue="1">
      <formula>"hoje()"</formula>
    </cfRule>
  </conditionalFormatting>
  <conditionalFormatting sqref="A76">
    <cfRule type="cellIs" priority="334" dxfId="0" operator="greaterThan" stopIfTrue="1">
      <formula>"hoje()"</formula>
    </cfRule>
  </conditionalFormatting>
  <conditionalFormatting sqref="A76">
    <cfRule type="cellIs" priority="333" dxfId="0" operator="greaterThan" stopIfTrue="1">
      <formula>"hoje()"</formula>
    </cfRule>
  </conditionalFormatting>
  <conditionalFormatting sqref="A76">
    <cfRule type="cellIs" priority="332" dxfId="0" operator="greaterThan" stopIfTrue="1">
      <formula>"hoje()"</formula>
    </cfRule>
  </conditionalFormatting>
  <conditionalFormatting sqref="A76">
    <cfRule type="cellIs" priority="331" dxfId="0" operator="greaterThan" stopIfTrue="1">
      <formula>"hoje()"</formula>
    </cfRule>
  </conditionalFormatting>
  <conditionalFormatting sqref="A76">
    <cfRule type="cellIs" priority="330" dxfId="0" operator="greaterThan" stopIfTrue="1">
      <formula>"hoje()"</formula>
    </cfRule>
  </conditionalFormatting>
  <conditionalFormatting sqref="A76">
    <cfRule type="cellIs" priority="329" dxfId="0" operator="greaterThan" stopIfTrue="1">
      <formula>"hoje()"</formula>
    </cfRule>
  </conditionalFormatting>
  <conditionalFormatting sqref="A76">
    <cfRule type="cellIs" priority="328" dxfId="0" operator="greaterThan" stopIfTrue="1">
      <formula>"hoje()"</formula>
    </cfRule>
  </conditionalFormatting>
  <conditionalFormatting sqref="A76">
    <cfRule type="cellIs" priority="327" dxfId="0" operator="greaterThan" stopIfTrue="1">
      <formula>"hoje()"</formula>
    </cfRule>
  </conditionalFormatting>
  <conditionalFormatting sqref="A76">
    <cfRule type="cellIs" priority="326" dxfId="0" operator="greaterThan" stopIfTrue="1">
      <formula>"hoje()"</formula>
    </cfRule>
  </conditionalFormatting>
  <conditionalFormatting sqref="A76">
    <cfRule type="cellIs" priority="325" dxfId="0" operator="greaterThan" stopIfTrue="1">
      <formula>"hoje()"</formula>
    </cfRule>
  </conditionalFormatting>
  <conditionalFormatting sqref="A76">
    <cfRule type="cellIs" priority="324" dxfId="0" operator="greaterThan" stopIfTrue="1">
      <formula>"hoje()"</formula>
    </cfRule>
  </conditionalFormatting>
  <conditionalFormatting sqref="A76">
    <cfRule type="cellIs" priority="323" dxfId="0" operator="greaterThan" stopIfTrue="1">
      <formula>"hoje()"</formula>
    </cfRule>
  </conditionalFormatting>
  <conditionalFormatting sqref="A76">
    <cfRule type="cellIs" priority="322" dxfId="0" operator="greaterThan" stopIfTrue="1">
      <formula>"hoje()"</formula>
    </cfRule>
  </conditionalFormatting>
  <conditionalFormatting sqref="A76">
    <cfRule type="cellIs" priority="321" dxfId="0" operator="greaterThan" stopIfTrue="1">
      <formula>"hoje()"</formula>
    </cfRule>
  </conditionalFormatting>
  <conditionalFormatting sqref="A76">
    <cfRule type="cellIs" priority="320" dxfId="0" operator="greaterThan" stopIfTrue="1">
      <formula>"hoje()"</formula>
    </cfRule>
  </conditionalFormatting>
  <conditionalFormatting sqref="A76">
    <cfRule type="cellIs" priority="319" dxfId="0" operator="greaterThan" stopIfTrue="1">
      <formula>"hoje()"</formula>
    </cfRule>
  </conditionalFormatting>
  <conditionalFormatting sqref="A76">
    <cfRule type="cellIs" priority="318" dxfId="0" operator="greaterThan" stopIfTrue="1">
      <formula>"hoje()"</formula>
    </cfRule>
  </conditionalFormatting>
  <conditionalFormatting sqref="A76">
    <cfRule type="cellIs" priority="317" dxfId="0" operator="greaterThan" stopIfTrue="1">
      <formula>"hoje()"</formula>
    </cfRule>
  </conditionalFormatting>
  <conditionalFormatting sqref="A76">
    <cfRule type="cellIs" priority="316" dxfId="0" operator="greaterThan" stopIfTrue="1">
      <formula>"hoje()"</formula>
    </cfRule>
  </conditionalFormatting>
  <conditionalFormatting sqref="A76">
    <cfRule type="cellIs" priority="315" dxfId="0" operator="greaterThan" stopIfTrue="1">
      <formula>"hoje()"</formula>
    </cfRule>
  </conditionalFormatting>
  <conditionalFormatting sqref="A76">
    <cfRule type="cellIs" priority="314" dxfId="0" operator="greaterThan" stopIfTrue="1">
      <formula>"hoje()"</formula>
    </cfRule>
  </conditionalFormatting>
  <conditionalFormatting sqref="A76">
    <cfRule type="cellIs" priority="313" dxfId="0" operator="greaterThan" stopIfTrue="1">
      <formula>"hoje()"</formula>
    </cfRule>
  </conditionalFormatting>
  <conditionalFormatting sqref="A76">
    <cfRule type="cellIs" priority="312" dxfId="0" operator="greaterThan" stopIfTrue="1">
      <formula>"hoje()"</formula>
    </cfRule>
  </conditionalFormatting>
  <conditionalFormatting sqref="A76">
    <cfRule type="cellIs" priority="311" dxfId="0" operator="greaterThan" stopIfTrue="1">
      <formula>"hoje()"</formula>
    </cfRule>
  </conditionalFormatting>
  <conditionalFormatting sqref="A76">
    <cfRule type="cellIs" priority="310" dxfId="0" operator="greaterThan" stopIfTrue="1">
      <formula>"hoje()"</formula>
    </cfRule>
  </conditionalFormatting>
  <conditionalFormatting sqref="A76">
    <cfRule type="cellIs" priority="309" dxfId="0" operator="greaterThan" stopIfTrue="1">
      <formula>"hoje()"</formula>
    </cfRule>
  </conditionalFormatting>
  <conditionalFormatting sqref="A76">
    <cfRule type="cellIs" priority="308" dxfId="0" operator="greaterThan" stopIfTrue="1">
      <formula>"hoje()"</formula>
    </cfRule>
  </conditionalFormatting>
  <conditionalFormatting sqref="A76">
    <cfRule type="cellIs" priority="307" dxfId="0" operator="greaterThan" stopIfTrue="1">
      <formula>"hoje()"</formula>
    </cfRule>
  </conditionalFormatting>
  <conditionalFormatting sqref="A76">
    <cfRule type="cellIs" priority="306" dxfId="0" operator="greaterThan" stopIfTrue="1">
      <formula>"hoje()"</formula>
    </cfRule>
  </conditionalFormatting>
  <conditionalFormatting sqref="A76">
    <cfRule type="cellIs" priority="305" dxfId="0" operator="greaterThan" stopIfTrue="1">
      <formula>"hoje()"</formula>
    </cfRule>
  </conditionalFormatting>
  <conditionalFormatting sqref="A76">
    <cfRule type="cellIs" priority="304" dxfId="0" operator="greaterThan" stopIfTrue="1">
      <formula>"hoje()"</formula>
    </cfRule>
  </conditionalFormatting>
  <conditionalFormatting sqref="A76">
    <cfRule type="cellIs" priority="303" dxfId="0" operator="greaterThan" stopIfTrue="1">
      <formula>"hoje()"</formula>
    </cfRule>
  </conditionalFormatting>
  <conditionalFormatting sqref="A76">
    <cfRule type="cellIs" priority="302" dxfId="0" operator="greaterThan" stopIfTrue="1">
      <formula>"hoje()"</formula>
    </cfRule>
  </conditionalFormatting>
  <conditionalFormatting sqref="A76">
    <cfRule type="cellIs" priority="301" dxfId="0" operator="greaterThan" stopIfTrue="1">
      <formula>"hoje()"</formula>
    </cfRule>
  </conditionalFormatting>
  <conditionalFormatting sqref="A77">
    <cfRule type="cellIs" priority="300" dxfId="0" operator="greaterThan" stopIfTrue="1">
      <formula>"hoje()"</formula>
    </cfRule>
  </conditionalFormatting>
  <conditionalFormatting sqref="A77">
    <cfRule type="cellIs" priority="299" dxfId="0" operator="greaterThan" stopIfTrue="1">
      <formula>"hoje()"</formula>
    </cfRule>
  </conditionalFormatting>
  <conditionalFormatting sqref="A77">
    <cfRule type="cellIs" priority="298" dxfId="0" operator="greaterThan" stopIfTrue="1">
      <formula>"hoje()"</formula>
    </cfRule>
  </conditionalFormatting>
  <conditionalFormatting sqref="A77">
    <cfRule type="cellIs" priority="297" dxfId="0" operator="greaterThan" stopIfTrue="1">
      <formula>"hoje()"</formula>
    </cfRule>
  </conditionalFormatting>
  <conditionalFormatting sqref="A77">
    <cfRule type="cellIs" priority="296" dxfId="0" operator="greaterThan" stopIfTrue="1">
      <formula>"hoje()"</formula>
    </cfRule>
  </conditionalFormatting>
  <conditionalFormatting sqref="A77">
    <cfRule type="cellIs" priority="295" dxfId="0" operator="greaterThan" stopIfTrue="1">
      <formula>"hoje()"</formula>
    </cfRule>
  </conditionalFormatting>
  <conditionalFormatting sqref="A77">
    <cfRule type="cellIs" priority="294" dxfId="0" operator="greaterThan" stopIfTrue="1">
      <formula>"hoje()"</formula>
    </cfRule>
  </conditionalFormatting>
  <conditionalFormatting sqref="A77">
    <cfRule type="cellIs" priority="293" dxfId="0" operator="greaterThan" stopIfTrue="1">
      <formula>"hoje()"</formula>
    </cfRule>
  </conditionalFormatting>
  <conditionalFormatting sqref="A77">
    <cfRule type="cellIs" priority="292" dxfId="0" operator="greaterThan" stopIfTrue="1">
      <formula>"hoje()"</formula>
    </cfRule>
  </conditionalFormatting>
  <conditionalFormatting sqref="A77">
    <cfRule type="cellIs" priority="291" dxfId="0" operator="greaterThan" stopIfTrue="1">
      <formula>"hoje()"</formula>
    </cfRule>
  </conditionalFormatting>
  <conditionalFormatting sqref="A77">
    <cfRule type="cellIs" priority="290" dxfId="0" operator="greaterThan" stopIfTrue="1">
      <formula>"hoje()"</formula>
    </cfRule>
  </conditionalFormatting>
  <conditionalFormatting sqref="A77">
    <cfRule type="cellIs" priority="289" dxfId="0" operator="greaterThan" stopIfTrue="1">
      <formula>"hoje()"</formula>
    </cfRule>
  </conditionalFormatting>
  <conditionalFormatting sqref="A77">
    <cfRule type="cellIs" priority="288" dxfId="0" operator="greaterThan" stopIfTrue="1">
      <formula>"hoje()"</formula>
    </cfRule>
  </conditionalFormatting>
  <conditionalFormatting sqref="A77">
    <cfRule type="cellIs" priority="287" dxfId="0" operator="greaterThan" stopIfTrue="1">
      <formula>"hoje()"</formula>
    </cfRule>
  </conditionalFormatting>
  <conditionalFormatting sqref="A77">
    <cfRule type="cellIs" priority="286" dxfId="0" operator="greaterThan" stopIfTrue="1">
      <formula>"hoje()"</formula>
    </cfRule>
  </conditionalFormatting>
  <conditionalFormatting sqref="A77">
    <cfRule type="cellIs" priority="285" dxfId="0" operator="greaterThan" stopIfTrue="1">
      <formula>"hoje()"</formula>
    </cfRule>
  </conditionalFormatting>
  <conditionalFormatting sqref="A77">
    <cfRule type="cellIs" priority="284" dxfId="0" operator="greaterThan" stopIfTrue="1">
      <formula>"hoje()"</formula>
    </cfRule>
  </conditionalFormatting>
  <conditionalFormatting sqref="A77">
    <cfRule type="cellIs" priority="283" dxfId="0" operator="greaterThan" stopIfTrue="1">
      <formula>"hoje()"</formula>
    </cfRule>
  </conditionalFormatting>
  <conditionalFormatting sqref="A77">
    <cfRule type="cellIs" priority="282" dxfId="0" operator="greaterThan" stopIfTrue="1">
      <formula>"hoje()"</formula>
    </cfRule>
  </conditionalFormatting>
  <conditionalFormatting sqref="A77">
    <cfRule type="cellIs" priority="281" dxfId="0" operator="greaterThan" stopIfTrue="1">
      <formula>"hoje()"</formula>
    </cfRule>
  </conditionalFormatting>
  <conditionalFormatting sqref="A77">
    <cfRule type="cellIs" priority="280" dxfId="0" operator="greaterThan" stopIfTrue="1">
      <formula>"hoje()"</formula>
    </cfRule>
  </conditionalFormatting>
  <conditionalFormatting sqref="A77">
    <cfRule type="cellIs" priority="279" dxfId="0" operator="greaterThan" stopIfTrue="1">
      <formula>"hoje()"</formula>
    </cfRule>
  </conditionalFormatting>
  <conditionalFormatting sqref="A77">
    <cfRule type="cellIs" priority="278" dxfId="0" operator="greaterThan" stopIfTrue="1">
      <formula>"hoje()"</formula>
    </cfRule>
  </conditionalFormatting>
  <conditionalFormatting sqref="A77">
    <cfRule type="cellIs" priority="277" dxfId="0" operator="greaterThan" stopIfTrue="1">
      <formula>"hoje()"</formula>
    </cfRule>
  </conditionalFormatting>
  <conditionalFormatting sqref="A77">
    <cfRule type="cellIs" priority="276" dxfId="0" operator="greaterThan" stopIfTrue="1">
      <formula>"hoje()"</formula>
    </cfRule>
  </conditionalFormatting>
  <conditionalFormatting sqref="A77">
    <cfRule type="cellIs" priority="275" dxfId="0" operator="greaterThan" stopIfTrue="1">
      <formula>"hoje()"</formula>
    </cfRule>
  </conditionalFormatting>
  <conditionalFormatting sqref="A77">
    <cfRule type="cellIs" priority="274" dxfId="0" operator="greaterThan" stopIfTrue="1">
      <formula>"hoje()"</formula>
    </cfRule>
  </conditionalFormatting>
  <conditionalFormatting sqref="A77">
    <cfRule type="cellIs" priority="273" dxfId="0" operator="greaterThan" stopIfTrue="1">
      <formula>"hoje()"</formula>
    </cfRule>
  </conditionalFormatting>
  <conditionalFormatting sqref="A77">
    <cfRule type="cellIs" priority="272" dxfId="0" operator="greaterThan" stopIfTrue="1">
      <formula>"hoje()"</formula>
    </cfRule>
  </conditionalFormatting>
  <conditionalFormatting sqref="A77">
    <cfRule type="cellIs" priority="271" dxfId="0" operator="greaterThan" stopIfTrue="1">
      <formula>"hoje()"</formula>
    </cfRule>
  </conditionalFormatting>
  <conditionalFormatting sqref="A77">
    <cfRule type="cellIs" priority="270" dxfId="0" operator="greaterThan" stopIfTrue="1">
      <formula>"hoje()"</formula>
    </cfRule>
  </conditionalFormatting>
  <conditionalFormatting sqref="A77">
    <cfRule type="cellIs" priority="269" dxfId="0" operator="greaterThan" stopIfTrue="1">
      <formula>"hoje()"</formula>
    </cfRule>
  </conditionalFormatting>
  <conditionalFormatting sqref="A77">
    <cfRule type="cellIs" priority="268" dxfId="0" operator="greaterThan" stopIfTrue="1">
      <formula>"hoje()"</formula>
    </cfRule>
  </conditionalFormatting>
  <conditionalFormatting sqref="A77">
    <cfRule type="cellIs" priority="267" dxfId="0" operator="greaterThan" stopIfTrue="1">
      <formula>"hoje()"</formula>
    </cfRule>
  </conditionalFormatting>
  <conditionalFormatting sqref="A77">
    <cfRule type="cellIs" priority="266" dxfId="0" operator="greaterThan" stopIfTrue="1">
      <formula>"hoje()"</formula>
    </cfRule>
  </conditionalFormatting>
  <conditionalFormatting sqref="A77">
    <cfRule type="cellIs" priority="265" dxfId="0" operator="greaterThan" stopIfTrue="1">
      <formula>"hoje()"</formula>
    </cfRule>
  </conditionalFormatting>
  <conditionalFormatting sqref="A77">
    <cfRule type="cellIs" priority="264" dxfId="0" operator="greaterThan" stopIfTrue="1">
      <formula>"hoje()"</formula>
    </cfRule>
  </conditionalFormatting>
  <conditionalFormatting sqref="A77">
    <cfRule type="cellIs" priority="263" dxfId="0" operator="greaterThan" stopIfTrue="1">
      <formula>"hoje()"</formula>
    </cfRule>
  </conditionalFormatting>
  <conditionalFormatting sqref="A77">
    <cfRule type="cellIs" priority="262" dxfId="0" operator="greaterThan" stopIfTrue="1">
      <formula>"hoje()"</formula>
    </cfRule>
  </conditionalFormatting>
  <conditionalFormatting sqref="A77">
    <cfRule type="cellIs" priority="261" dxfId="0" operator="greaterThan" stopIfTrue="1">
      <formula>"hoje()"</formula>
    </cfRule>
  </conditionalFormatting>
  <conditionalFormatting sqref="A77">
    <cfRule type="cellIs" priority="260" dxfId="0" operator="greaterThan" stopIfTrue="1">
      <formula>"hoje()"</formula>
    </cfRule>
  </conditionalFormatting>
  <conditionalFormatting sqref="A77">
    <cfRule type="cellIs" priority="259" dxfId="0" operator="greaterThan" stopIfTrue="1">
      <formula>"hoje()"</formula>
    </cfRule>
  </conditionalFormatting>
  <conditionalFormatting sqref="A77">
    <cfRule type="cellIs" priority="258" dxfId="0" operator="greaterThan" stopIfTrue="1">
      <formula>"hoje()"</formula>
    </cfRule>
  </conditionalFormatting>
  <conditionalFormatting sqref="A77">
    <cfRule type="cellIs" priority="257" dxfId="0" operator="greaterThan" stopIfTrue="1">
      <formula>"hoje()"</formula>
    </cfRule>
  </conditionalFormatting>
  <conditionalFormatting sqref="A77">
    <cfRule type="cellIs" priority="256" dxfId="0" operator="greaterThan" stopIfTrue="1">
      <formula>"hoje()"</formula>
    </cfRule>
  </conditionalFormatting>
  <conditionalFormatting sqref="A77">
    <cfRule type="cellIs" priority="255" dxfId="0" operator="greaterThan" stopIfTrue="1">
      <formula>"hoje()"</formula>
    </cfRule>
  </conditionalFormatting>
  <conditionalFormatting sqref="A77">
    <cfRule type="cellIs" priority="254" dxfId="0" operator="greaterThan" stopIfTrue="1">
      <formula>"hoje()"</formula>
    </cfRule>
  </conditionalFormatting>
  <conditionalFormatting sqref="A77">
    <cfRule type="cellIs" priority="253" dxfId="0" operator="greaterThan" stopIfTrue="1">
      <formula>"hoje()"</formula>
    </cfRule>
  </conditionalFormatting>
  <conditionalFormatting sqref="A77">
    <cfRule type="cellIs" priority="252" dxfId="0" operator="greaterThan" stopIfTrue="1">
      <formula>"hoje()"</formula>
    </cfRule>
  </conditionalFormatting>
  <conditionalFormatting sqref="A77">
    <cfRule type="cellIs" priority="251" dxfId="0" operator="greaterThan" stopIfTrue="1">
      <formula>"hoje()"</formula>
    </cfRule>
  </conditionalFormatting>
  <conditionalFormatting sqref="A77">
    <cfRule type="cellIs" priority="250" dxfId="0" operator="greaterThan" stopIfTrue="1">
      <formula>"hoje()"</formula>
    </cfRule>
  </conditionalFormatting>
  <conditionalFormatting sqref="A77">
    <cfRule type="cellIs" priority="249" dxfId="0" operator="greaterThan" stopIfTrue="1">
      <formula>"hoje()"</formula>
    </cfRule>
  </conditionalFormatting>
  <conditionalFormatting sqref="A77">
    <cfRule type="cellIs" priority="248" dxfId="0" operator="greaterThan" stopIfTrue="1">
      <formula>"hoje()"</formula>
    </cfRule>
  </conditionalFormatting>
  <conditionalFormatting sqref="A77">
    <cfRule type="cellIs" priority="247" dxfId="0" operator="greaterThan" stopIfTrue="1">
      <formula>"hoje()"</formula>
    </cfRule>
  </conditionalFormatting>
  <conditionalFormatting sqref="A77">
    <cfRule type="cellIs" priority="246" dxfId="0" operator="greaterThan" stopIfTrue="1">
      <formula>"hoje()"</formula>
    </cfRule>
  </conditionalFormatting>
  <conditionalFormatting sqref="A77">
    <cfRule type="cellIs" priority="245" dxfId="0" operator="greaterThan" stopIfTrue="1">
      <formula>"hoje()"</formula>
    </cfRule>
  </conditionalFormatting>
  <conditionalFormatting sqref="A77">
    <cfRule type="cellIs" priority="244" dxfId="0" operator="greaterThan" stopIfTrue="1">
      <formula>"hoje()"</formula>
    </cfRule>
  </conditionalFormatting>
  <conditionalFormatting sqref="A77">
    <cfRule type="cellIs" priority="243" dxfId="0" operator="greaterThan" stopIfTrue="1">
      <formula>"hoje()"</formula>
    </cfRule>
  </conditionalFormatting>
  <conditionalFormatting sqref="A77">
    <cfRule type="cellIs" priority="242" dxfId="0" operator="greaterThan" stopIfTrue="1">
      <formula>"hoje()"</formula>
    </cfRule>
  </conditionalFormatting>
  <conditionalFormatting sqref="A77">
    <cfRule type="cellIs" priority="241" dxfId="0" operator="greaterThan" stopIfTrue="1">
      <formula>"hoje()"</formula>
    </cfRule>
  </conditionalFormatting>
  <conditionalFormatting sqref="A77">
    <cfRule type="cellIs" priority="240" dxfId="0" operator="greaterThan" stopIfTrue="1">
      <formula>"hoje()"</formula>
    </cfRule>
  </conditionalFormatting>
  <conditionalFormatting sqref="A77">
    <cfRule type="cellIs" priority="239" dxfId="0" operator="greaterThan" stopIfTrue="1">
      <formula>"hoje()"</formula>
    </cfRule>
  </conditionalFormatting>
  <conditionalFormatting sqref="A77">
    <cfRule type="cellIs" priority="238" dxfId="0" operator="greaterThan" stopIfTrue="1">
      <formula>"hoje()"</formula>
    </cfRule>
  </conditionalFormatting>
  <conditionalFormatting sqref="A77">
    <cfRule type="cellIs" priority="237" dxfId="0" operator="greaterThan" stopIfTrue="1">
      <formula>"hoje()"</formula>
    </cfRule>
  </conditionalFormatting>
  <conditionalFormatting sqref="A77">
    <cfRule type="cellIs" priority="236" dxfId="0" operator="greaterThan" stopIfTrue="1">
      <formula>"hoje()"</formula>
    </cfRule>
  </conditionalFormatting>
  <conditionalFormatting sqref="A77">
    <cfRule type="cellIs" priority="235" dxfId="0" operator="greaterThan" stopIfTrue="1">
      <formula>"hoje()"</formula>
    </cfRule>
  </conditionalFormatting>
  <conditionalFormatting sqref="A77">
    <cfRule type="cellIs" priority="234" dxfId="0" operator="greaterThan" stopIfTrue="1">
      <formula>"hoje()"</formula>
    </cfRule>
  </conditionalFormatting>
  <conditionalFormatting sqref="A77">
    <cfRule type="cellIs" priority="233" dxfId="0" operator="greaterThan" stopIfTrue="1">
      <formula>"hoje()"</formula>
    </cfRule>
  </conditionalFormatting>
  <conditionalFormatting sqref="A77">
    <cfRule type="cellIs" priority="232" dxfId="0" operator="greaterThan" stopIfTrue="1">
      <formula>"hoje()"</formula>
    </cfRule>
  </conditionalFormatting>
  <conditionalFormatting sqref="A77">
    <cfRule type="cellIs" priority="231" dxfId="0" operator="greaterThan" stopIfTrue="1">
      <formula>"hoje()"</formula>
    </cfRule>
  </conditionalFormatting>
  <conditionalFormatting sqref="A77">
    <cfRule type="cellIs" priority="230" dxfId="0" operator="greaterThan" stopIfTrue="1">
      <formula>"hoje()"</formula>
    </cfRule>
  </conditionalFormatting>
  <conditionalFormatting sqref="A77">
    <cfRule type="cellIs" priority="229" dxfId="0" operator="greaterThan" stopIfTrue="1">
      <formula>"hoje()"</formula>
    </cfRule>
  </conditionalFormatting>
  <conditionalFormatting sqref="A77">
    <cfRule type="cellIs" priority="228" dxfId="0" operator="greaterThan" stopIfTrue="1">
      <formula>"hoje()"</formula>
    </cfRule>
  </conditionalFormatting>
  <conditionalFormatting sqref="A77">
    <cfRule type="cellIs" priority="227" dxfId="0" operator="greaterThan" stopIfTrue="1">
      <formula>"hoje()"</formula>
    </cfRule>
  </conditionalFormatting>
  <conditionalFormatting sqref="A77">
    <cfRule type="cellIs" priority="226" dxfId="0" operator="greaterThan" stopIfTrue="1">
      <formula>"hoje()"</formula>
    </cfRule>
  </conditionalFormatting>
  <conditionalFormatting sqref="A77">
    <cfRule type="cellIs" priority="225" dxfId="0" operator="greaterThan" stopIfTrue="1">
      <formula>"hoje()"</formula>
    </cfRule>
  </conditionalFormatting>
  <conditionalFormatting sqref="A77">
    <cfRule type="cellIs" priority="224" dxfId="0" operator="greaterThan" stopIfTrue="1">
      <formula>"hoje()"</formula>
    </cfRule>
  </conditionalFormatting>
  <conditionalFormatting sqref="A77">
    <cfRule type="cellIs" priority="223" dxfId="0" operator="greaterThan" stopIfTrue="1">
      <formula>"hoje()"</formula>
    </cfRule>
  </conditionalFormatting>
  <conditionalFormatting sqref="A77">
    <cfRule type="cellIs" priority="222" dxfId="0" operator="greaterThan" stopIfTrue="1">
      <formula>"hoje()"</formula>
    </cfRule>
  </conditionalFormatting>
  <conditionalFormatting sqref="A77">
    <cfRule type="cellIs" priority="221" dxfId="0" operator="greaterThan" stopIfTrue="1">
      <formula>"hoje()"</formula>
    </cfRule>
  </conditionalFormatting>
  <conditionalFormatting sqref="A77">
    <cfRule type="cellIs" priority="220" dxfId="0" operator="greaterThan" stopIfTrue="1">
      <formula>"hoje()"</formula>
    </cfRule>
  </conditionalFormatting>
  <conditionalFormatting sqref="A77">
    <cfRule type="cellIs" priority="219" dxfId="0" operator="greaterThan" stopIfTrue="1">
      <formula>"hoje()"</formula>
    </cfRule>
  </conditionalFormatting>
  <conditionalFormatting sqref="A77">
    <cfRule type="cellIs" priority="218" dxfId="0" operator="greaterThan" stopIfTrue="1">
      <formula>"hoje()"</formula>
    </cfRule>
  </conditionalFormatting>
  <conditionalFormatting sqref="A77">
    <cfRule type="cellIs" priority="217" dxfId="0" operator="greaterThan" stopIfTrue="1">
      <formula>"hoje()"</formula>
    </cfRule>
  </conditionalFormatting>
  <conditionalFormatting sqref="A77">
    <cfRule type="cellIs" priority="216" dxfId="0" operator="greaterThan" stopIfTrue="1">
      <formula>"hoje()"</formula>
    </cfRule>
  </conditionalFormatting>
  <conditionalFormatting sqref="A77">
    <cfRule type="cellIs" priority="215" dxfId="0" operator="greaterThan" stopIfTrue="1">
      <formula>"hoje()"</formula>
    </cfRule>
  </conditionalFormatting>
  <conditionalFormatting sqref="A77">
    <cfRule type="cellIs" priority="214" dxfId="0" operator="greaterThan" stopIfTrue="1">
      <formula>"hoje()"</formula>
    </cfRule>
  </conditionalFormatting>
  <conditionalFormatting sqref="A77">
    <cfRule type="cellIs" priority="213" dxfId="0" operator="greaterThan" stopIfTrue="1">
      <formula>"hoje()"</formula>
    </cfRule>
  </conditionalFormatting>
  <conditionalFormatting sqref="A77">
    <cfRule type="cellIs" priority="212" dxfId="0" operator="greaterThan" stopIfTrue="1">
      <formula>"hoje()"</formula>
    </cfRule>
  </conditionalFormatting>
  <conditionalFormatting sqref="A77">
    <cfRule type="cellIs" priority="211" dxfId="0" operator="greaterThan" stopIfTrue="1">
      <formula>"hoje()"</formula>
    </cfRule>
  </conditionalFormatting>
  <conditionalFormatting sqref="A77">
    <cfRule type="cellIs" priority="210" dxfId="0" operator="greaterThan" stopIfTrue="1">
      <formula>"hoje()"</formula>
    </cfRule>
  </conditionalFormatting>
  <conditionalFormatting sqref="A77">
    <cfRule type="cellIs" priority="209" dxfId="0" operator="greaterThan" stopIfTrue="1">
      <formula>"hoje()"</formula>
    </cfRule>
  </conditionalFormatting>
  <conditionalFormatting sqref="A77">
    <cfRule type="cellIs" priority="208" dxfId="0" operator="greaterThan" stopIfTrue="1">
      <formula>"hoje()"</formula>
    </cfRule>
  </conditionalFormatting>
  <conditionalFormatting sqref="A77">
    <cfRule type="cellIs" priority="207" dxfId="0" operator="greaterThan" stopIfTrue="1">
      <formula>"hoje()"</formula>
    </cfRule>
  </conditionalFormatting>
  <conditionalFormatting sqref="A77">
    <cfRule type="cellIs" priority="206" dxfId="0" operator="greaterThan" stopIfTrue="1">
      <formula>"hoje()"</formula>
    </cfRule>
  </conditionalFormatting>
  <conditionalFormatting sqref="A77">
    <cfRule type="cellIs" priority="205" dxfId="0" operator="greaterThan" stopIfTrue="1">
      <formula>"hoje()"</formula>
    </cfRule>
  </conditionalFormatting>
  <conditionalFormatting sqref="A77">
    <cfRule type="cellIs" priority="204" dxfId="0" operator="greaterThan" stopIfTrue="1">
      <formula>"hoje()"</formula>
    </cfRule>
  </conditionalFormatting>
  <conditionalFormatting sqref="A77">
    <cfRule type="cellIs" priority="203" dxfId="0" operator="greaterThan" stopIfTrue="1">
      <formula>"hoje()"</formula>
    </cfRule>
  </conditionalFormatting>
  <conditionalFormatting sqref="A77">
    <cfRule type="cellIs" priority="202" dxfId="0" operator="greaterThan" stopIfTrue="1">
      <formula>"hoje()"</formula>
    </cfRule>
  </conditionalFormatting>
  <conditionalFormatting sqref="A77">
    <cfRule type="cellIs" priority="201" dxfId="0" operator="greaterThan" stopIfTrue="1">
      <formula>"hoje()"</formula>
    </cfRule>
  </conditionalFormatting>
  <conditionalFormatting sqref="A77">
    <cfRule type="cellIs" priority="200" dxfId="0" operator="greaterThan" stopIfTrue="1">
      <formula>"hoje()"</formula>
    </cfRule>
  </conditionalFormatting>
  <conditionalFormatting sqref="A77">
    <cfRule type="cellIs" priority="199" dxfId="0" operator="greaterThan" stopIfTrue="1">
      <formula>"hoje()"</formula>
    </cfRule>
  </conditionalFormatting>
  <conditionalFormatting sqref="A77">
    <cfRule type="cellIs" priority="198" dxfId="0" operator="greaterThan" stopIfTrue="1">
      <formula>"hoje()"</formula>
    </cfRule>
  </conditionalFormatting>
  <conditionalFormatting sqref="A77">
    <cfRule type="cellIs" priority="197" dxfId="0" operator="greaterThan" stopIfTrue="1">
      <formula>"hoje()"</formula>
    </cfRule>
  </conditionalFormatting>
  <conditionalFormatting sqref="A77">
    <cfRule type="cellIs" priority="196" dxfId="0" operator="greaterThan" stopIfTrue="1">
      <formula>"hoje()"</formula>
    </cfRule>
  </conditionalFormatting>
  <conditionalFormatting sqref="A77">
    <cfRule type="cellIs" priority="195" dxfId="0" operator="greaterThan" stopIfTrue="1">
      <formula>"hoje()"</formula>
    </cfRule>
  </conditionalFormatting>
  <conditionalFormatting sqref="A77">
    <cfRule type="cellIs" priority="194" dxfId="0" operator="greaterThan" stopIfTrue="1">
      <formula>"hoje()"</formula>
    </cfRule>
  </conditionalFormatting>
  <conditionalFormatting sqref="A77">
    <cfRule type="cellIs" priority="193" dxfId="0" operator="greaterThan" stopIfTrue="1">
      <formula>"hoje()"</formula>
    </cfRule>
  </conditionalFormatting>
  <conditionalFormatting sqref="A77">
    <cfRule type="cellIs" priority="192" dxfId="0" operator="greaterThan" stopIfTrue="1">
      <formula>"hoje()"</formula>
    </cfRule>
  </conditionalFormatting>
  <conditionalFormatting sqref="A77">
    <cfRule type="cellIs" priority="191" dxfId="0" operator="greaterThan" stopIfTrue="1">
      <formula>"hoje()"</formula>
    </cfRule>
  </conditionalFormatting>
  <conditionalFormatting sqref="A77">
    <cfRule type="cellIs" priority="190" dxfId="0" operator="greaterThan" stopIfTrue="1">
      <formula>"hoje()"</formula>
    </cfRule>
  </conditionalFormatting>
  <conditionalFormatting sqref="A77">
    <cfRule type="cellIs" priority="189" dxfId="0" operator="greaterThan" stopIfTrue="1">
      <formula>"hoje()"</formula>
    </cfRule>
  </conditionalFormatting>
  <conditionalFormatting sqref="A77">
    <cfRule type="cellIs" priority="188" dxfId="0" operator="greaterThan" stopIfTrue="1">
      <formula>"hoje()"</formula>
    </cfRule>
  </conditionalFormatting>
  <conditionalFormatting sqref="A77">
    <cfRule type="cellIs" priority="187" dxfId="0" operator="greaterThan" stopIfTrue="1">
      <formula>"hoje()"</formula>
    </cfRule>
  </conditionalFormatting>
  <conditionalFormatting sqref="A77">
    <cfRule type="cellIs" priority="186" dxfId="0" operator="greaterThan" stopIfTrue="1">
      <formula>"hoje()"</formula>
    </cfRule>
  </conditionalFormatting>
  <conditionalFormatting sqref="A77">
    <cfRule type="cellIs" priority="185" dxfId="0" operator="greaterThan" stopIfTrue="1">
      <formula>"hoje()"</formula>
    </cfRule>
  </conditionalFormatting>
  <conditionalFormatting sqref="A77">
    <cfRule type="cellIs" priority="184" dxfId="0" operator="greaterThan" stopIfTrue="1">
      <formula>"hoje()"</formula>
    </cfRule>
  </conditionalFormatting>
  <conditionalFormatting sqref="A77">
    <cfRule type="cellIs" priority="183" dxfId="0" operator="greaterThan" stopIfTrue="1">
      <formula>"hoje()"</formula>
    </cfRule>
  </conditionalFormatting>
  <conditionalFormatting sqref="A77">
    <cfRule type="cellIs" priority="182" dxfId="0" operator="greaterThan" stopIfTrue="1">
      <formula>"hoje()"</formula>
    </cfRule>
  </conditionalFormatting>
  <conditionalFormatting sqref="A78">
    <cfRule type="cellIs" priority="181" dxfId="0" operator="greaterThan" stopIfTrue="1">
      <formula>"hoje()"</formula>
    </cfRule>
  </conditionalFormatting>
  <conditionalFormatting sqref="A78">
    <cfRule type="cellIs" priority="180" dxfId="0" operator="greaterThan" stopIfTrue="1">
      <formula>"hoje()"</formula>
    </cfRule>
  </conditionalFormatting>
  <conditionalFormatting sqref="A78">
    <cfRule type="cellIs" priority="179" dxfId="0" operator="greaterThan" stopIfTrue="1">
      <formula>"hoje()"</formula>
    </cfRule>
  </conditionalFormatting>
  <conditionalFormatting sqref="A78">
    <cfRule type="cellIs" priority="178" dxfId="0" operator="greaterThan" stopIfTrue="1">
      <formula>"hoje()"</formula>
    </cfRule>
  </conditionalFormatting>
  <conditionalFormatting sqref="A78">
    <cfRule type="cellIs" priority="177" dxfId="0" operator="greaterThan" stopIfTrue="1">
      <formula>"hoje()"</formula>
    </cfRule>
  </conditionalFormatting>
  <conditionalFormatting sqref="A78">
    <cfRule type="cellIs" priority="176" dxfId="0" operator="greaterThan" stopIfTrue="1">
      <formula>"hoje()"</formula>
    </cfRule>
  </conditionalFormatting>
  <conditionalFormatting sqref="A78">
    <cfRule type="cellIs" priority="175" dxfId="0" operator="greaterThan" stopIfTrue="1">
      <formula>"hoje()"</formula>
    </cfRule>
  </conditionalFormatting>
  <conditionalFormatting sqref="A78">
    <cfRule type="cellIs" priority="174" dxfId="0" operator="greaterThan" stopIfTrue="1">
      <formula>"hoje()"</formula>
    </cfRule>
  </conditionalFormatting>
  <conditionalFormatting sqref="A78">
    <cfRule type="cellIs" priority="173" dxfId="0" operator="greaterThan" stopIfTrue="1">
      <formula>"hoje()"</formula>
    </cfRule>
  </conditionalFormatting>
  <conditionalFormatting sqref="A78">
    <cfRule type="cellIs" priority="172" dxfId="0" operator="greaterThan" stopIfTrue="1">
      <formula>"hoje()"</formula>
    </cfRule>
  </conditionalFormatting>
  <conditionalFormatting sqref="A78">
    <cfRule type="cellIs" priority="171" dxfId="0" operator="greaterThan" stopIfTrue="1">
      <formula>"hoje()"</formula>
    </cfRule>
  </conditionalFormatting>
  <conditionalFormatting sqref="A78">
    <cfRule type="cellIs" priority="170" dxfId="0" operator="greaterThan" stopIfTrue="1">
      <formula>"hoje()"</formula>
    </cfRule>
  </conditionalFormatting>
  <conditionalFormatting sqref="A78">
    <cfRule type="cellIs" priority="169" dxfId="0" operator="greaterThan" stopIfTrue="1">
      <formula>"hoje()"</formula>
    </cfRule>
  </conditionalFormatting>
  <conditionalFormatting sqref="A78">
    <cfRule type="cellIs" priority="168" dxfId="0" operator="greaterThan" stopIfTrue="1">
      <formula>"hoje()"</formula>
    </cfRule>
  </conditionalFormatting>
  <conditionalFormatting sqref="A78">
    <cfRule type="cellIs" priority="167" dxfId="0" operator="greaterThan" stopIfTrue="1">
      <formula>"hoje()"</formula>
    </cfRule>
  </conditionalFormatting>
  <conditionalFormatting sqref="A78">
    <cfRule type="cellIs" priority="166" dxfId="0" operator="greaterThan" stopIfTrue="1">
      <formula>"hoje()"</formula>
    </cfRule>
  </conditionalFormatting>
  <conditionalFormatting sqref="A78">
    <cfRule type="cellIs" priority="165" dxfId="0" operator="greaterThan" stopIfTrue="1">
      <formula>"hoje()"</formula>
    </cfRule>
  </conditionalFormatting>
  <conditionalFormatting sqref="A78">
    <cfRule type="cellIs" priority="164" dxfId="0" operator="greaterThan" stopIfTrue="1">
      <formula>"hoje()"</formula>
    </cfRule>
  </conditionalFormatting>
  <conditionalFormatting sqref="A78">
    <cfRule type="cellIs" priority="163" dxfId="0" operator="greaterThan" stopIfTrue="1">
      <formula>"hoje()"</formula>
    </cfRule>
  </conditionalFormatting>
  <conditionalFormatting sqref="A78">
    <cfRule type="cellIs" priority="162" dxfId="0" operator="greaterThan" stopIfTrue="1">
      <formula>"hoje()"</formula>
    </cfRule>
  </conditionalFormatting>
  <conditionalFormatting sqref="A78">
    <cfRule type="cellIs" priority="161" dxfId="0" operator="greaterThan" stopIfTrue="1">
      <formula>"hoje()"</formula>
    </cfRule>
  </conditionalFormatting>
  <conditionalFormatting sqref="A78">
    <cfRule type="cellIs" priority="160" dxfId="0" operator="greaterThan" stopIfTrue="1">
      <formula>"hoje()"</formula>
    </cfRule>
  </conditionalFormatting>
  <conditionalFormatting sqref="A78">
    <cfRule type="cellIs" priority="159" dxfId="0" operator="greaterThan" stopIfTrue="1">
      <formula>"hoje()"</formula>
    </cfRule>
  </conditionalFormatting>
  <conditionalFormatting sqref="A78">
    <cfRule type="cellIs" priority="158" dxfId="0" operator="greaterThan" stopIfTrue="1">
      <formula>"hoje()"</formula>
    </cfRule>
  </conditionalFormatting>
  <conditionalFormatting sqref="A78">
    <cfRule type="cellIs" priority="157" dxfId="0" operator="greaterThan" stopIfTrue="1">
      <formula>"hoje()"</formula>
    </cfRule>
  </conditionalFormatting>
  <conditionalFormatting sqref="A78">
    <cfRule type="cellIs" priority="156" dxfId="0" operator="greaterThan" stopIfTrue="1">
      <formula>"hoje()"</formula>
    </cfRule>
  </conditionalFormatting>
  <conditionalFormatting sqref="A78">
    <cfRule type="cellIs" priority="155" dxfId="0" operator="greaterThan" stopIfTrue="1">
      <formula>"hoje()"</formula>
    </cfRule>
  </conditionalFormatting>
  <conditionalFormatting sqref="A78">
    <cfRule type="cellIs" priority="154" dxfId="0" operator="greaterThan" stopIfTrue="1">
      <formula>"hoje()"</formula>
    </cfRule>
  </conditionalFormatting>
  <conditionalFormatting sqref="A78">
    <cfRule type="cellIs" priority="153" dxfId="0" operator="greaterThan" stopIfTrue="1">
      <formula>"hoje()"</formula>
    </cfRule>
  </conditionalFormatting>
  <conditionalFormatting sqref="A78">
    <cfRule type="cellIs" priority="152" dxfId="0" operator="greaterThan" stopIfTrue="1">
      <formula>"hoje()"</formula>
    </cfRule>
  </conditionalFormatting>
  <conditionalFormatting sqref="A78">
    <cfRule type="cellIs" priority="151" dxfId="0" operator="greaterThan" stopIfTrue="1">
      <formula>"hoje()"</formula>
    </cfRule>
  </conditionalFormatting>
  <conditionalFormatting sqref="A78">
    <cfRule type="cellIs" priority="150" dxfId="0" operator="greaterThan" stopIfTrue="1">
      <formula>"hoje()"</formula>
    </cfRule>
  </conditionalFormatting>
  <conditionalFormatting sqref="A78">
    <cfRule type="cellIs" priority="149" dxfId="0" operator="greaterThan" stopIfTrue="1">
      <formula>"hoje()"</formula>
    </cfRule>
  </conditionalFormatting>
  <conditionalFormatting sqref="A78">
    <cfRule type="cellIs" priority="148" dxfId="0" operator="greaterThan" stopIfTrue="1">
      <formula>"hoje()"</formula>
    </cfRule>
  </conditionalFormatting>
  <conditionalFormatting sqref="A78">
    <cfRule type="cellIs" priority="147" dxfId="0" operator="greaterThan" stopIfTrue="1">
      <formula>"hoje()"</formula>
    </cfRule>
  </conditionalFormatting>
  <conditionalFormatting sqref="A78">
    <cfRule type="cellIs" priority="146" dxfId="0" operator="greaterThan" stopIfTrue="1">
      <formula>"hoje()"</formula>
    </cfRule>
  </conditionalFormatting>
  <conditionalFormatting sqref="A78">
    <cfRule type="cellIs" priority="145" dxfId="0" operator="greaterThan" stopIfTrue="1">
      <formula>"hoje()"</formula>
    </cfRule>
  </conditionalFormatting>
  <conditionalFormatting sqref="A78">
    <cfRule type="cellIs" priority="144" dxfId="0" operator="greaterThan" stopIfTrue="1">
      <formula>"hoje()"</formula>
    </cfRule>
  </conditionalFormatting>
  <conditionalFormatting sqref="A78">
    <cfRule type="cellIs" priority="143" dxfId="0" operator="greaterThan" stopIfTrue="1">
      <formula>"hoje()"</formula>
    </cfRule>
  </conditionalFormatting>
  <conditionalFormatting sqref="A78">
    <cfRule type="cellIs" priority="142" dxfId="0" operator="greaterThan" stopIfTrue="1">
      <formula>"hoje()"</formula>
    </cfRule>
  </conditionalFormatting>
  <conditionalFormatting sqref="A78">
    <cfRule type="cellIs" priority="141" dxfId="0" operator="greaterThan" stopIfTrue="1">
      <formula>"hoje()"</formula>
    </cfRule>
  </conditionalFormatting>
  <conditionalFormatting sqref="A78">
    <cfRule type="cellIs" priority="140" dxfId="0" operator="greaterThan" stopIfTrue="1">
      <formula>"hoje()"</formula>
    </cfRule>
  </conditionalFormatting>
  <conditionalFormatting sqref="A78">
    <cfRule type="cellIs" priority="139" dxfId="0" operator="greaterThan" stopIfTrue="1">
      <formula>"hoje()"</formula>
    </cfRule>
  </conditionalFormatting>
  <conditionalFormatting sqref="A78">
    <cfRule type="cellIs" priority="138" dxfId="0" operator="greaterThan" stopIfTrue="1">
      <formula>"hoje()"</formula>
    </cfRule>
  </conditionalFormatting>
  <conditionalFormatting sqref="A78">
    <cfRule type="cellIs" priority="137" dxfId="0" operator="greaterThan" stopIfTrue="1">
      <formula>"hoje()"</formula>
    </cfRule>
  </conditionalFormatting>
  <conditionalFormatting sqref="A78">
    <cfRule type="cellIs" priority="136" dxfId="0" operator="greaterThan" stopIfTrue="1">
      <formula>"hoje()"</formula>
    </cfRule>
  </conditionalFormatting>
  <conditionalFormatting sqref="A78">
    <cfRule type="cellIs" priority="135" dxfId="0" operator="greaterThan" stopIfTrue="1">
      <formula>"hoje()"</formula>
    </cfRule>
  </conditionalFormatting>
  <conditionalFormatting sqref="A78">
    <cfRule type="cellIs" priority="134" dxfId="0" operator="greaterThan" stopIfTrue="1">
      <formula>"hoje()"</formula>
    </cfRule>
  </conditionalFormatting>
  <conditionalFormatting sqref="A78">
    <cfRule type="cellIs" priority="133" dxfId="0" operator="greaterThan" stopIfTrue="1">
      <formula>"hoje()"</formula>
    </cfRule>
  </conditionalFormatting>
  <conditionalFormatting sqref="A78">
    <cfRule type="cellIs" priority="132" dxfId="0" operator="greaterThan" stopIfTrue="1">
      <formula>"hoje()"</formula>
    </cfRule>
  </conditionalFormatting>
  <conditionalFormatting sqref="A78">
    <cfRule type="cellIs" priority="131" dxfId="0" operator="greaterThan" stopIfTrue="1">
      <formula>"hoje()"</formula>
    </cfRule>
  </conditionalFormatting>
  <conditionalFormatting sqref="A78">
    <cfRule type="cellIs" priority="130" dxfId="0" operator="greaterThan" stopIfTrue="1">
      <formula>"hoje()"</formula>
    </cfRule>
  </conditionalFormatting>
  <conditionalFormatting sqref="A78">
    <cfRule type="cellIs" priority="129" dxfId="0" operator="greaterThan" stopIfTrue="1">
      <formula>"hoje()"</formula>
    </cfRule>
  </conditionalFormatting>
  <conditionalFormatting sqref="A78">
    <cfRule type="cellIs" priority="128" dxfId="0" operator="greaterThan" stopIfTrue="1">
      <formula>"hoje()"</formula>
    </cfRule>
  </conditionalFormatting>
  <conditionalFormatting sqref="A78">
    <cfRule type="cellIs" priority="127" dxfId="0" operator="greaterThan" stopIfTrue="1">
      <formula>"hoje()"</formula>
    </cfRule>
  </conditionalFormatting>
  <conditionalFormatting sqref="A78">
    <cfRule type="cellIs" priority="126" dxfId="0" operator="greaterThan" stopIfTrue="1">
      <formula>"hoje()"</formula>
    </cfRule>
  </conditionalFormatting>
  <conditionalFormatting sqref="A78">
    <cfRule type="cellIs" priority="125" dxfId="0" operator="greaterThan" stopIfTrue="1">
      <formula>"hoje()"</formula>
    </cfRule>
  </conditionalFormatting>
  <conditionalFormatting sqref="A78">
    <cfRule type="cellIs" priority="124" dxfId="0" operator="greaterThan" stopIfTrue="1">
      <formula>"hoje()"</formula>
    </cfRule>
  </conditionalFormatting>
  <conditionalFormatting sqref="A78">
    <cfRule type="cellIs" priority="123" dxfId="0" operator="greaterThan" stopIfTrue="1">
      <formula>"hoje()"</formula>
    </cfRule>
  </conditionalFormatting>
  <conditionalFormatting sqref="A78">
    <cfRule type="cellIs" priority="122" dxfId="0" operator="greaterThan" stopIfTrue="1">
      <formula>"hoje()"</formula>
    </cfRule>
  </conditionalFormatting>
  <conditionalFormatting sqref="A78">
    <cfRule type="cellIs" priority="121" dxfId="0" operator="greaterThan" stopIfTrue="1">
      <formula>"hoje()"</formula>
    </cfRule>
  </conditionalFormatting>
  <conditionalFormatting sqref="A78">
    <cfRule type="cellIs" priority="120" dxfId="0" operator="greaterThan" stopIfTrue="1">
      <formula>"hoje()"</formula>
    </cfRule>
  </conditionalFormatting>
  <conditionalFormatting sqref="A78">
    <cfRule type="cellIs" priority="119" dxfId="0" operator="greaterThan" stopIfTrue="1">
      <formula>"hoje()"</formula>
    </cfRule>
  </conditionalFormatting>
  <conditionalFormatting sqref="A78">
    <cfRule type="cellIs" priority="118" dxfId="0" operator="greaterThan" stopIfTrue="1">
      <formula>"hoje()"</formula>
    </cfRule>
  </conditionalFormatting>
  <conditionalFormatting sqref="A78">
    <cfRule type="cellIs" priority="117" dxfId="0" operator="greaterThan" stopIfTrue="1">
      <formula>"hoje()"</formula>
    </cfRule>
  </conditionalFormatting>
  <conditionalFormatting sqref="A78">
    <cfRule type="cellIs" priority="116" dxfId="0" operator="greaterThan" stopIfTrue="1">
      <formula>"hoje()"</formula>
    </cfRule>
  </conditionalFormatting>
  <conditionalFormatting sqref="A78">
    <cfRule type="cellIs" priority="115" dxfId="0" operator="greaterThan" stopIfTrue="1">
      <formula>"hoje()"</formula>
    </cfRule>
  </conditionalFormatting>
  <conditionalFormatting sqref="A78">
    <cfRule type="cellIs" priority="114" dxfId="0" operator="greaterThan" stopIfTrue="1">
      <formula>"hoje()"</formula>
    </cfRule>
  </conditionalFormatting>
  <conditionalFormatting sqref="A78">
    <cfRule type="cellIs" priority="113" dxfId="0" operator="greaterThan" stopIfTrue="1">
      <formula>"hoje()"</formula>
    </cfRule>
  </conditionalFormatting>
  <conditionalFormatting sqref="A78">
    <cfRule type="cellIs" priority="112" dxfId="0" operator="greaterThan" stopIfTrue="1">
      <formula>"hoje()"</formula>
    </cfRule>
  </conditionalFormatting>
  <conditionalFormatting sqref="A78">
    <cfRule type="cellIs" priority="111" dxfId="0" operator="greaterThan" stopIfTrue="1">
      <formula>"hoje()"</formula>
    </cfRule>
  </conditionalFormatting>
  <conditionalFormatting sqref="A78">
    <cfRule type="cellIs" priority="110" dxfId="0" operator="greaterThan" stopIfTrue="1">
      <formula>"hoje()"</formula>
    </cfRule>
  </conditionalFormatting>
  <conditionalFormatting sqref="A78">
    <cfRule type="cellIs" priority="109" dxfId="0" operator="greaterThan" stopIfTrue="1">
      <formula>"hoje()"</formula>
    </cfRule>
  </conditionalFormatting>
  <conditionalFormatting sqref="A78">
    <cfRule type="cellIs" priority="108" dxfId="0" operator="greaterThan" stopIfTrue="1">
      <formula>"hoje()"</formula>
    </cfRule>
  </conditionalFormatting>
  <conditionalFormatting sqref="A78">
    <cfRule type="cellIs" priority="107" dxfId="0" operator="greaterThan" stopIfTrue="1">
      <formula>"hoje()"</formula>
    </cfRule>
  </conditionalFormatting>
  <conditionalFormatting sqref="A78">
    <cfRule type="cellIs" priority="106" dxfId="0" operator="greaterThan" stopIfTrue="1">
      <formula>"hoje()"</formula>
    </cfRule>
  </conditionalFormatting>
  <conditionalFormatting sqref="A78">
    <cfRule type="cellIs" priority="105" dxfId="0" operator="greaterThan" stopIfTrue="1">
      <formula>"hoje()"</formula>
    </cfRule>
  </conditionalFormatting>
  <conditionalFormatting sqref="A78">
    <cfRule type="cellIs" priority="104" dxfId="0" operator="greaterThan" stopIfTrue="1">
      <formula>"hoje()"</formula>
    </cfRule>
  </conditionalFormatting>
  <conditionalFormatting sqref="A78">
    <cfRule type="cellIs" priority="103" dxfId="0" operator="greaterThan" stopIfTrue="1">
      <formula>"hoje()"</formula>
    </cfRule>
  </conditionalFormatting>
  <conditionalFormatting sqref="A78">
    <cfRule type="cellIs" priority="102" dxfId="0" operator="greaterThan" stopIfTrue="1">
      <formula>"hoje()"</formula>
    </cfRule>
  </conditionalFormatting>
  <conditionalFormatting sqref="A78">
    <cfRule type="cellIs" priority="101" dxfId="0" operator="greaterThan" stopIfTrue="1">
      <formula>"hoje()"</formula>
    </cfRule>
  </conditionalFormatting>
  <conditionalFormatting sqref="A78">
    <cfRule type="cellIs" priority="100" dxfId="0" operator="greaterThan" stopIfTrue="1">
      <formula>"hoje()"</formula>
    </cfRule>
  </conditionalFormatting>
  <conditionalFormatting sqref="A78">
    <cfRule type="cellIs" priority="99" dxfId="0" operator="greaterThan" stopIfTrue="1">
      <formula>"hoje()"</formula>
    </cfRule>
  </conditionalFormatting>
  <conditionalFormatting sqref="A78">
    <cfRule type="cellIs" priority="98" dxfId="0" operator="greaterThan" stopIfTrue="1">
      <formula>"hoje()"</formula>
    </cfRule>
  </conditionalFormatting>
  <conditionalFormatting sqref="A78">
    <cfRule type="cellIs" priority="97" dxfId="0" operator="greaterThan" stopIfTrue="1">
      <formula>"hoje()"</formula>
    </cfRule>
  </conditionalFormatting>
  <conditionalFormatting sqref="A78">
    <cfRule type="cellIs" priority="96" dxfId="0" operator="greaterThan" stopIfTrue="1">
      <formula>"hoje()"</formula>
    </cfRule>
  </conditionalFormatting>
  <conditionalFormatting sqref="A78">
    <cfRule type="cellIs" priority="95" dxfId="0" operator="greaterThan" stopIfTrue="1">
      <formula>"hoje()"</formula>
    </cfRule>
  </conditionalFormatting>
  <conditionalFormatting sqref="A78">
    <cfRule type="cellIs" priority="94" dxfId="0" operator="greaterThan" stopIfTrue="1">
      <formula>"hoje()"</formula>
    </cfRule>
  </conditionalFormatting>
  <conditionalFormatting sqref="A78">
    <cfRule type="cellIs" priority="93" dxfId="0" operator="greaterThan" stopIfTrue="1">
      <formula>"hoje()"</formula>
    </cfRule>
  </conditionalFormatting>
  <conditionalFormatting sqref="A78">
    <cfRule type="cellIs" priority="92" dxfId="0" operator="greaterThan" stopIfTrue="1">
      <formula>"hoje()"</formula>
    </cfRule>
  </conditionalFormatting>
  <conditionalFormatting sqref="A78">
    <cfRule type="cellIs" priority="91" dxfId="0" operator="greaterThan" stopIfTrue="1">
      <formula>"hoje()"</formula>
    </cfRule>
  </conditionalFormatting>
  <conditionalFormatting sqref="A78">
    <cfRule type="cellIs" priority="90" dxfId="0" operator="greaterThan" stopIfTrue="1">
      <formula>"hoje()"</formula>
    </cfRule>
  </conditionalFormatting>
  <conditionalFormatting sqref="A78">
    <cfRule type="cellIs" priority="89" dxfId="0" operator="greaterThan" stopIfTrue="1">
      <formula>"hoje()"</formula>
    </cfRule>
  </conditionalFormatting>
  <conditionalFormatting sqref="A78">
    <cfRule type="cellIs" priority="88" dxfId="0" operator="greaterThan" stopIfTrue="1">
      <formula>"hoje()"</formula>
    </cfRule>
  </conditionalFormatting>
  <conditionalFormatting sqref="A78">
    <cfRule type="cellIs" priority="87" dxfId="0" operator="greaterThan" stopIfTrue="1">
      <formula>"hoje()"</formula>
    </cfRule>
  </conditionalFormatting>
  <conditionalFormatting sqref="A78">
    <cfRule type="cellIs" priority="86" dxfId="0" operator="greaterThan" stopIfTrue="1">
      <formula>"hoje()"</formula>
    </cfRule>
  </conditionalFormatting>
  <conditionalFormatting sqref="A78">
    <cfRule type="cellIs" priority="85" dxfId="0" operator="greaterThan" stopIfTrue="1">
      <formula>"hoje()"</formula>
    </cfRule>
  </conditionalFormatting>
  <conditionalFormatting sqref="A78">
    <cfRule type="cellIs" priority="84" dxfId="0" operator="greaterThan" stopIfTrue="1">
      <formula>"hoje()"</formula>
    </cfRule>
  </conditionalFormatting>
  <conditionalFormatting sqref="A78">
    <cfRule type="cellIs" priority="83" dxfId="0" operator="greaterThan" stopIfTrue="1">
      <formula>"hoje()"</formula>
    </cfRule>
  </conditionalFormatting>
  <conditionalFormatting sqref="A78">
    <cfRule type="cellIs" priority="82" dxfId="0" operator="greaterThan" stopIfTrue="1">
      <formula>"hoje()"</formula>
    </cfRule>
  </conditionalFormatting>
  <conditionalFormatting sqref="A78">
    <cfRule type="cellIs" priority="81" dxfId="0" operator="greaterThan" stopIfTrue="1">
      <formula>"hoje()"</formula>
    </cfRule>
  </conditionalFormatting>
  <conditionalFormatting sqref="A78">
    <cfRule type="cellIs" priority="80" dxfId="0" operator="greaterThan" stopIfTrue="1">
      <formula>"hoje()"</formula>
    </cfRule>
  </conditionalFormatting>
  <conditionalFormatting sqref="A78">
    <cfRule type="cellIs" priority="79" dxfId="0" operator="greaterThan" stopIfTrue="1">
      <formula>"hoje()"</formula>
    </cfRule>
  </conditionalFormatting>
  <conditionalFormatting sqref="A78">
    <cfRule type="cellIs" priority="78" dxfId="0" operator="greaterThan" stopIfTrue="1">
      <formula>"hoje()"</formula>
    </cfRule>
  </conditionalFormatting>
  <conditionalFormatting sqref="A78">
    <cfRule type="cellIs" priority="77" dxfId="0" operator="greaterThan" stopIfTrue="1">
      <formula>"hoje()"</formula>
    </cfRule>
  </conditionalFormatting>
  <conditionalFormatting sqref="A78">
    <cfRule type="cellIs" priority="76" dxfId="0" operator="greaterThan" stopIfTrue="1">
      <formula>"hoje()"</formula>
    </cfRule>
  </conditionalFormatting>
  <conditionalFormatting sqref="A78">
    <cfRule type="cellIs" priority="75" dxfId="0" operator="greaterThan" stopIfTrue="1">
      <formula>"hoje()"</formula>
    </cfRule>
  </conditionalFormatting>
  <conditionalFormatting sqref="A78">
    <cfRule type="cellIs" priority="74" dxfId="0" operator="greaterThan" stopIfTrue="1">
      <formula>"hoje()"</formula>
    </cfRule>
  </conditionalFormatting>
  <conditionalFormatting sqref="A78">
    <cfRule type="cellIs" priority="73" dxfId="0" operator="greaterThan" stopIfTrue="1">
      <formula>"hoje()"</formula>
    </cfRule>
  </conditionalFormatting>
  <conditionalFormatting sqref="A78">
    <cfRule type="cellIs" priority="72" dxfId="0" operator="greaterThan" stopIfTrue="1">
      <formula>"hoje()"</formula>
    </cfRule>
  </conditionalFormatting>
  <conditionalFormatting sqref="A78">
    <cfRule type="cellIs" priority="71" dxfId="0" operator="greaterThan" stopIfTrue="1">
      <formula>"hoje()"</formula>
    </cfRule>
  </conditionalFormatting>
  <conditionalFormatting sqref="A78">
    <cfRule type="cellIs" priority="70" dxfId="0" operator="greaterThan" stopIfTrue="1">
      <formula>"hoje()"</formula>
    </cfRule>
  </conditionalFormatting>
  <conditionalFormatting sqref="A78">
    <cfRule type="cellIs" priority="69" dxfId="0" operator="greaterThan" stopIfTrue="1">
      <formula>"hoje()"</formula>
    </cfRule>
  </conditionalFormatting>
  <conditionalFormatting sqref="A78">
    <cfRule type="cellIs" priority="68" dxfId="0" operator="greaterThan" stopIfTrue="1">
      <formula>"hoje()"</formula>
    </cfRule>
  </conditionalFormatting>
  <conditionalFormatting sqref="A78">
    <cfRule type="cellIs" priority="67" dxfId="0" operator="greaterThan" stopIfTrue="1">
      <formula>"hoje()"</formula>
    </cfRule>
  </conditionalFormatting>
  <conditionalFormatting sqref="A78">
    <cfRule type="cellIs" priority="66" dxfId="0" operator="greaterThan" stopIfTrue="1">
      <formula>"hoje()"</formula>
    </cfRule>
  </conditionalFormatting>
  <conditionalFormatting sqref="A78">
    <cfRule type="cellIs" priority="65" dxfId="0" operator="greaterThan" stopIfTrue="1">
      <formula>"hoje()"</formula>
    </cfRule>
  </conditionalFormatting>
  <conditionalFormatting sqref="A78">
    <cfRule type="cellIs" priority="64" dxfId="0" operator="greaterThan" stopIfTrue="1">
      <formula>"hoje()"</formula>
    </cfRule>
  </conditionalFormatting>
  <conditionalFormatting sqref="A78">
    <cfRule type="cellIs" priority="63" dxfId="0" operator="greaterThan" stopIfTrue="1">
      <formula>"hoje()"</formula>
    </cfRule>
  </conditionalFormatting>
  <conditionalFormatting sqref="A78">
    <cfRule type="cellIs" priority="62" dxfId="0" operator="greaterThan" stopIfTrue="1">
      <formula>"hoje()"</formula>
    </cfRule>
  </conditionalFormatting>
  <conditionalFormatting sqref="A78">
    <cfRule type="cellIs" priority="61" dxfId="0" operator="greaterThan" stopIfTrue="1">
      <formula>"hoje()"</formula>
    </cfRule>
  </conditionalFormatting>
  <conditionalFormatting sqref="A78">
    <cfRule type="cellIs" priority="60" dxfId="0" operator="greaterThan" stopIfTrue="1">
      <formula>"hoje()"</formula>
    </cfRule>
  </conditionalFormatting>
  <conditionalFormatting sqref="A78">
    <cfRule type="cellIs" priority="59" dxfId="0" operator="greaterThan" stopIfTrue="1">
      <formula>"hoje()"</formula>
    </cfRule>
  </conditionalFormatting>
  <conditionalFormatting sqref="A78">
    <cfRule type="cellIs" priority="58" dxfId="0" operator="greaterThan" stopIfTrue="1">
      <formula>"hoje()"</formula>
    </cfRule>
  </conditionalFormatting>
  <conditionalFormatting sqref="A78">
    <cfRule type="cellIs" priority="57" dxfId="0" operator="greaterThan" stopIfTrue="1">
      <formula>"hoje()"</formula>
    </cfRule>
  </conditionalFormatting>
  <conditionalFormatting sqref="A78">
    <cfRule type="cellIs" priority="56" dxfId="0" operator="greaterThan" stopIfTrue="1">
      <formula>"hoje()"</formula>
    </cfRule>
  </conditionalFormatting>
  <conditionalFormatting sqref="A78">
    <cfRule type="cellIs" priority="55" dxfId="0" operator="greaterThan" stopIfTrue="1">
      <formula>"hoje()"</formula>
    </cfRule>
  </conditionalFormatting>
  <conditionalFormatting sqref="A78">
    <cfRule type="cellIs" priority="54" dxfId="0" operator="greaterThan" stopIfTrue="1">
      <formula>"hoje()"</formula>
    </cfRule>
  </conditionalFormatting>
  <conditionalFormatting sqref="A78">
    <cfRule type="cellIs" priority="53" dxfId="0" operator="greaterThan" stopIfTrue="1">
      <formula>"hoje()"</formula>
    </cfRule>
  </conditionalFormatting>
  <conditionalFormatting sqref="A78">
    <cfRule type="cellIs" priority="52" dxfId="0" operator="greaterThan" stopIfTrue="1">
      <formula>"hoje()"</formula>
    </cfRule>
  </conditionalFormatting>
  <conditionalFormatting sqref="A78">
    <cfRule type="cellIs" priority="51" dxfId="0" operator="greaterThan" stopIfTrue="1">
      <formula>"hoje()"</formula>
    </cfRule>
  </conditionalFormatting>
  <conditionalFormatting sqref="A78">
    <cfRule type="cellIs" priority="50" dxfId="0" operator="greaterThan" stopIfTrue="1">
      <formula>"hoje()"</formula>
    </cfRule>
  </conditionalFormatting>
  <conditionalFormatting sqref="A78">
    <cfRule type="cellIs" priority="49" dxfId="0" operator="greaterThan" stopIfTrue="1">
      <formula>"hoje()"</formula>
    </cfRule>
  </conditionalFormatting>
  <conditionalFormatting sqref="A78">
    <cfRule type="cellIs" priority="48" dxfId="0" operator="greaterThan" stopIfTrue="1">
      <formula>"hoje()"</formula>
    </cfRule>
  </conditionalFormatting>
  <conditionalFormatting sqref="A78">
    <cfRule type="cellIs" priority="47" dxfId="0" operator="greaterThan" stopIfTrue="1">
      <formula>"hoje()"</formula>
    </cfRule>
  </conditionalFormatting>
  <conditionalFormatting sqref="A78">
    <cfRule type="cellIs" priority="46" dxfId="0" operator="greaterThan" stopIfTrue="1">
      <formula>"hoje()"</formula>
    </cfRule>
  </conditionalFormatting>
  <conditionalFormatting sqref="A78">
    <cfRule type="cellIs" priority="45" dxfId="0" operator="greaterThan" stopIfTrue="1">
      <formula>"hoje()"</formula>
    </cfRule>
  </conditionalFormatting>
  <conditionalFormatting sqref="A78">
    <cfRule type="cellIs" priority="44" dxfId="0" operator="greaterThan" stopIfTrue="1">
      <formula>"hoje()"</formula>
    </cfRule>
  </conditionalFormatting>
  <conditionalFormatting sqref="A78">
    <cfRule type="cellIs" priority="43" dxfId="0" operator="greaterThan" stopIfTrue="1">
      <formula>"hoje()"</formula>
    </cfRule>
  </conditionalFormatting>
  <conditionalFormatting sqref="A78">
    <cfRule type="cellIs" priority="42" dxfId="0" operator="greaterThan" stopIfTrue="1">
      <formula>"hoje()"</formula>
    </cfRule>
  </conditionalFormatting>
  <conditionalFormatting sqref="A78">
    <cfRule type="cellIs" priority="41" dxfId="0" operator="greaterThan" stopIfTrue="1">
      <formula>"hoje()"</formula>
    </cfRule>
  </conditionalFormatting>
  <conditionalFormatting sqref="A78">
    <cfRule type="cellIs" priority="40" dxfId="0" operator="greaterThan" stopIfTrue="1">
      <formula>"hoje()"</formula>
    </cfRule>
  </conditionalFormatting>
  <conditionalFormatting sqref="A78">
    <cfRule type="cellIs" priority="39" dxfId="0" operator="greaterThan" stopIfTrue="1">
      <formula>"hoje()"</formula>
    </cfRule>
  </conditionalFormatting>
  <conditionalFormatting sqref="A78">
    <cfRule type="cellIs" priority="38" dxfId="0" operator="greaterThan" stopIfTrue="1">
      <formula>"hoje()"</formula>
    </cfRule>
  </conditionalFormatting>
  <conditionalFormatting sqref="A78">
    <cfRule type="cellIs" priority="37" dxfId="0" operator="greaterThan" stopIfTrue="1">
      <formula>"hoje()"</formula>
    </cfRule>
  </conditionalFormatting>
  <conditionalFormatting sqref="A78">
    <cfRule type="cellIs" priority="36" dxfId="0" operator="greaterThan" stopIfTrue="1">
      <formula>"hoje()"</formula>
    </cfRule>
  </conditionalFormatting>
  <conditionalFormatting sqref="A78">
    <cfRule type="cellIs" priority="35" dxfId="0" operator="greaterThan" stopIfTrue="1">
      <formula>"hoje()"</formula>
    </cfRule>
  </conditionalFormatting>
  <conditionalFormatting sqref="A78">
    <cfRule type="cellIs" priority="34" dxfId="0" operator="greaterThan" stopIfTrue="1">
      <formula>"hoje()"</formula>
    </cfRule>
  </conditionalFormatting>
  <conditionalFormatting sqref="A78">
    <cfRule type="cellIs" priority="33" dxfId="0" operator="greaterThan" stopIfTrue="1">
      <formula>"hoje()"</formula>
    </cfRule>
  </conditionalFormatting>
  <conditionalFormatting sqref="A78">
    <cfRule type="cellIs" priority="32" dxfId="0" operator="greaterThan" stopIfTrue="1">
      <formula>"hoje()"</formula>
    </cfRule>
  </conditionalFormatting>
  <conditionalFormatting sqref="A78">
    <cfRule type="cellIs" priority="31" dxfId="0" operator="greaterThan" stopIfTrue="1">
      <formula>"hoje()"</formula>
    </cfRule>
  </conditionalFormatting>
  <conditionalFormatting sqref="A78">
    <cfRule type="cellIs" priority="30" dxfId="0" operator="greaterThan" stopIfTrue="1">
      <formula>"hoje()"</formula>
    </cfRule>
  </conditionalFormatting>
  <conditionalFormatting sqref="A78">
    <cfRule type="cellIs" priority="29" dxfId="0" operator="greaterThan" stopIfTrue="1">
      <formula>"hoje()"</formula>
    </cfRule>
  </conditionalFormatting>
  <conditionalFormatting sqref="A78">
    <cfRule type="cellIs" priority="28" dxfId="0" operator="greaterThan" stopIfTrue="1">
      <formula>"hoje()"</formula>
    </cfRule>
  </conditionalFormatting>
  <conditionalFormatting sqref="A78">
    <cfRule type="cellIs" priority="27" dxfId="0" operator="greaterThan" stopIfTrue="1">
      <formula>"hoje()"</formula>
    </cfRule>
  </conditionalFormatting>
  <conditionalFormatting sqref="A78">
    <cfRule type="cellIs" priority="26" dxfId="0" operator="greaterThan" stopIfTrue="1">
      <formula>"hoje()"</formula>
    </cfRule>
  </conditionalFormatting>
  <conditionalFormatting sqref="A78">
    <cfRule type="cellIs" priority="25" dxfId="0" operator="greaterThan" stopIfTrue="1">
      <formula>"hoje()"</formula>
    </cfRule>
  </conditionalFormatting>
  <conditionalFormatting sqref="A78">
    <cfRule type="cellIs" priority="24" dxfId="0" operator="greaterThan" stopIfTrue="1">
      <formula>"hoje()"</formula>
    </cfRule>
  </conditionalFormatting>
  <conditionalFormatting sqref="A78">
    <cfRule type="cellIs" priority="23" dxfId="0" operator="greaterThan" stopIfTrue="1">
      <formula>"hoje()"</formula>
    </cfRule>
  </conditionalFormatting>
  <conditionalFormatting sqref="A78">
    <cfRule type="cellIs" priority="22" dxfId="0" operator="greaterThan" stopIfTrue="1">
      <formula>"hoje()"</formula>
    </cfRule>
  </conditionalFormatting>
  <conditionalFormatting sqref="A78">
    <cfRule type="cellIs" priority="21" dxfId="0" operator="greaterThan" stopIfTrue="1">
      <formula>"hoje()"</formula>
    </cfRule>
  </conditionalFormatting>
  <conditionalFormatting sqref="A78">
    <cfRule type="cellIs" priority="20" dxfId="0" operator="greaterThan" stopIfTrue="1">
      <formula>"hoje()"</formula>
    </cfRule>
  </conditionalFormatting>
  <conditionalFormatting sqref="A78">
    <cfRule type="cellIs" priority="19" dxfId="0" operator="greaterThan" stopIfTrue="1">
      <formula>"hoje()"</formula>
    </cfRule>
  </conditionalFormatting>
  <conditionalFormatting sqref="A78">
    <cfRule type="cellIs" priority="18" dxfId="0" operator="greaterThan" stopIfTrue="1">
      <formula>"hoje()"</formula>
    </cfRule>
  </conditionalFormatting>
  <conditionalFormatting sqref="A78">
    <cfRule type="cellIs" priority="17" dxfId="0" operator="greaterThan" stopIfTrue="1">
      <formula>"hoje()"</formula>
    </cfRule>
  </conditionalFormatting>
  <conditionalFormatting sqref="A78">
    <cfRule type="cellIs" priority="16" dxfId="0" operator="greaterThan" stopIfTrue="1">
      <formula>"hoje()"</formula>
    </cfRule>
  </conditionalFormatting>
  <conditionalFormatting sqref="A78">
    <cfRule type="cellIs" priority="15" dxfId="0" operator="greaterThan" stopIfTrue="1">
      <formula>"hoje()"</formula>
    </cfRule>
  </conditionalFormatting>
  <conditionalFormatting sqref="A78">
    <cfRule type="cellIs" priority="14" dxfId="0" operator="greaterThan" stopIfTrue="1">
      <formula>"hoje()"</formula>
    </cfRule>
  </conditionalFormatting>
  <conditionalFormatting sqref="A78">
    <cfRule type="cellIs" priority="13" dxfId="0" operator="greaterThan" stopIfTrue="1">
      <formula>"hoje()"</formula>
    </cfRule>
  </conditionalFormatting>
  <conditionalFormatting sqref="A78">
    <cfRule type="cellIs" priority="12" dxfId="0" operator="greaterThan" stopIfTrue="1">
      <formula>"hoje()"</formula>
    </cfRule>
  </conditionalFormatting>
  <conditionalFormatting sqref="A78">
    <cfRule type="cellIs" priority="11" dxfId="0" operator="greaterThan" stopIfTrue="1">
      <formula>"hoje()"</formula>
    </cfRule>
  </conditionalFormatting>
  <conditionalFormatting sqref="A78">
    <cfRule type="cellIs" priority="10" dxfId="0" operator="greaterThan" stopIfTrue="1">
      <formula>"hoje()"</formula>
    </cfRule>
  </conditionalFormatting>
  <conditionalFormatting sqref="A78">
    <cfRule type="cellIs" priority="9" dxfId="0" operator="greaterThan" stopIfTrue="1">
      <formula>"hoje()"</formula>
    </cfRule>
  </conditionalFormatting>
  <conditionalFormatting sqref="A78">
    <cfRule type="cellIs" priority="8" dxfId="0" operator="greaterThan" stopIfTrue="1">
      <formula>"hoje()"</formula>
    </cfRule>
  </conditionalFormatting>
  <conditionalFormatting sqref="A78">
    <cfRule type="cellIs" priority="7" dxfId="0" operator="greaterThan" stopIfTrue="1">
      <formula>"hoje()"</formula>
    </cfRule>
  </conditionalFormatting>
  <conditionalFormatting sqref="A78">
    <cfRule type="cellIs" priority="6" dxfId="0" operator="greaterThan" stopIfTrue="1">
      <formula>"hoje()"</formula>
    </cfRule>
  </conditionalFormatting>
  <conditionalFormatting sqref="A78">
    <cfRule type="cellIs" priority="5" dxfId="0" operator="greaterThan" stopIfTrue="1">
      <formula>"hoje()"</formula>
    </cfRule>
  </conditionalFormatting>
  <conditionalFormatting sqref="A78">
    <cfRule type="cellIs" priority="4" dxfId="0" operator="greaterThan" stopIfTrue="1">
      <formula>"hoje()"</formula>
    </cfRule>
  </conditionalFormatting>
  <conditionalFormatting sqref="A78">
    <cfRule type="cellIs" priority="3" dxfId="0" operator="greaterThan" stopIfTrue="1">
      <formula>"hoje()"</formula>
    </cfRule>
  </conditionalFormatting>
  <conditionalFormatting sqref="A78">
    <cfRule type="cellIs" priority="2" dxfId="0" operator="greaterThan" stopIfTrue="1">
      <formula>"hoje()"</formula>
    </cfRule>
  </conditionalFormatting>
  <conditionalFormatting sqref="A78">
    <cfRule type="cellIs" priority="1" dxfId="0" operator="greaterThan" stopIfTrue="1">
      <formula>"hoje()"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8.7109375" style="0" customWidth="1"/>
    <col min="2" max="2" width="19.28125" style="0" customWidth="1"/>
    <col min="3" max="3" width="18.140625" style="0" customWidth="1"/>
    <col min="4" max="4" width="20.421875" style="0" customWidth="1"/>
    <col min="5" max="5" width="17.57421875" style="0" customWidth="1"/>
    <col min="6" max="6" width="24.57421875" style="0" customWidth="1"/>
    <col min="7" max="7" width="25.421875" style="0" customWidth="1"/>
    <col min="8" max="8" width="25.140625" style="0" customWidth="1"/>
    <col min="9" max="9" width="22.421875" style="0" customWidth="1"/>
    <col min="10" max="10" width="24.57421875" style="0" customWidth="1"/>
    <col min="11" max="11" width="20.28125" style="0" customWidth="1"/>
    <col min="12" max="12" width="16.28125" style="0" customWidth="1"/>
    <col min="13" max="13" width="12.7109375" style="0" customWidth="1"/>
    <col min="14" max="14" width="15.140625" style="0" customWidth="1"/>
    <col min="15" max="15" width="23.00390625" style="0" customWidth="1"/>
    <col min="16" max="16" width="20.7109375" style="0" customWidth="1"/>
    <col min="17" max="17" width="15.28125" style="0" customWidth="1"/>
    <col min="18" max="18" width="21.57421875" style="0" bestFit="1" customWidth="1"/>
    <col min="19" max="19" width="19.7109375" style="0" customWidth="1"/>
    <col min="20" max="20" width="20.00390625" style="0" customWidth="1"/>
    <col min="21" max="21" width="16.57421875" style="0" customWidth="1"/>
    <col min="22" max="22" width="17.140625" style="0" customWidth="1"/>
    <col min="23" max="23" width="19.7109375" style="0" customWidth="1"/>
    <col min="24" max="24" width="21.140625" style="0" customWidth="1"/>
    <col min="25" max="25" width="18.00390625" style="0" customWidth="1"/>
    <col min="26" max="26" width="19.7109375" style="0" customWidth="1"/>
    <col min="27" max="27" width="15.57421875" style="0" customWidth="1"/>
    <col min="28" max="28" width="13.8515625" style="0" customWidth="1"/>
    <col min="29" max="29" width="10.8515625" style="0" customWidth="1"/>
    <col min="30" max="30" width="16.00390625" style="0" customWidth="1"/>
    <col min="31" max="31" width="15.57421875" style="0" customWidth="1"/>
    <col min="32" max="32" width="17.8515625" style="0" customWidth="1"/>
  </cols>
  <sheetData>
    <row r="1" spans="1:7" ht="12.75">
      <c r="A1" s="16" t="s">
        <v>40</v>
      </c>
      <c r="B1" s="1"/>
      <c r="C1" s="2"/>
      <c r="D1" s="2"/>
      <c r="E1" s="2"/>
      <c r="F1" s="3"/>
      <c r="G1" s="2"/>
    </row>
    <row r="2" spans="1:7" ht="12.75">
      <c r="A2" s="16"/>
      <c r="B2" s="1"/>
      <c r="C2" s="2"/>
      <c r="D2" s="2"/>
      <c r="E2" s="2"/>
      <c r="F2" s="3"/>
      <c r="G2" s="2"/>
    </row>
    <row r="3" spans="1:8" ht="12.75">
      <c r="A3" s="47"/>
      <c r="B3" s="48"/>
      <c r="C3" s="48"/>
      <c r="D3" s="48"/>
      <c r="E3" s="48"/>
      <c r="F3" s="48"/>
      <c r="G3" s="48"/>
      <c r="H3" s="48"/>
    </row>
    <row r="4" spans="1:8" ht="12.75">
      <c r="A4" s="26"/>
      <c r="B4" s="27"/>
      <c r="C4" s="27"/>
      <c r="D4" s="27"/>
      <c r="E4" s="27"/>
      <c r="F4" s="27"/>
      <c r="G4" s="27"/>
      <c r="H4" s="27"/>
    </row>
    <row r="5" spans="1:8" ht="12.75">
      <c r="A5" s="26"/>
      <c r="B5" s="27"/>
      <c r="C5" s="27"/>
      <c r="D5" s="27"/>
      <c r="E5" s="27"/>
      <c r="F5" s="27"/>
      <c r="G5" s="27"/>
      <c r="H5" s="27"/>
    </row>
    <row r="6" spans="1:8" ht="12.75" hidden="1">
      <c r="A6" s="26"/>
      <c r="B6" s="27"/>
      <c r="C6" s="27"/>
      <c r="D6" s="27"/>
      <c r="E6" s="27"/>
      <c r="F6" s="27"/>
      <c r="G6" s="27"/>
      <c r="H6" s="27"/>
    </row>
    <row r="7" spans="1:8" ht="12.75">
      <c r="A7" s="26"/>
      <c r="B7" s="27"/>
      <c r="C7" s="27"/>
      <c r="D7" s="27"/>
      <c r="E7" s="27"/>
      <c r="F7" s="27"/>
      <c r="G7" s="27"/>
      <c r="H7" s="27"/>
    </row>
    <row r="11" ht="13.5" thickBot="1">
      <c r="A11" s="16" t="s">
        <v>39</v>
      </c>
    </row>
    <row r="12" spans="1:32" ht="90" thickBot="1">
      <c r="A12" s="35" t="s">
        <v>7</v>
      </c>
      <c r="B12" s="34" t="s">
        <v>15</v>
      </c>
      <c r="C12" s="34" t="s">
        <v>23</v>
      </c>
      <c r="D12" s="34" t="s">
        <v>16</v>
      </c>
      <c r="E12" s="34" t="s">
        <v>24</v>
      </c>
      <c r="F12" s="34" t="s">
        <v>25</v>
      </c>
      <c r="G12" s="34" t="s">
        <v>26</v>
      </c>
      <c r="H12" s="34" t="s">
        <v>35</v>
      </c>
      <c r="I12" s="34" t="s">
        <v>36</v>
      </c>
      <c r="J12" s="34" t="s">
        <v>37</v>
      </c>
      <c r="K12" s="34" t="s">
        <v>38</v>
      </c>
      <c r="L12" s="34" t="s">
        <v>27</v>
      </c>
      <c r="M12" s="34" t="s">
        <v>28</v>
      </c>
      <c r="N12" s="34" t="s">
        <v>29</v>
      </c>
      <c r="O12" s="34" t="s">
        <v>30</v>
      </c>
      <c r="P12" s="34" t="s">
        <v>48</v>
      </c>
      <c r="Q12" s="34" t="s">
        <v>31</v>
      </c>
      <c r="R12" s="34" t="s">
        <v>17</v>
      </c>
      <c r="S12" s="34" t="s">
        <v>32</v>
      </c>
      <c r="T12" s="34" t="s">
        <v>33</v>
      </c>
      <c r="U12" s="34" t="s">
        <v>42</v>
      </c>
      <c r="V12" s="34" t="s">
        <v>43</v>
      </c>
      <c r="W12" s="34" t="s">
        <v>44</v>
      </c>
      <c r="X12" s="34" t="s">
        <v>45</v>
      </c>
      <c r="Y12" s="34" t="s">
        <v>46</v>
      </c>
      <c r="Z12" s="34" t="s">
        <v>47</v>
      </c>
      <c r="AA12" s="34" t="s">
        <v>18</v>
      </c>
      <c r="AB12" s="34" t="s">
        <v>19</v>
      </c>
      <c r="AC12" s="34" t="s">
        <v>34</v>
      </c>
      <c r="AD12" s="34" t="s">
        <v>20</v>
      </c>
      <c r="AE12" s="34" t="s">
        <v>21</v>
      </c>
      <c r="AF12" s="34" t="s">
        <v>22</v>
      </c>
    </row>
    <row r="13" spans="1:32" ht="12.75">
      <c r="A13" s="36">
        <v>2011</v>
      </c>
      <c r="B13" s="29">
        <f>'Posição da carteira - mensal'!B24</f>
        <v>215.6740055171127</v>
      </c>
      <c r="C13" s="45">
        <f>'Posição da carteira - mensal'!C24</f>
        <v>2.3128651737925154</v>
      </c>
      <c r="D13" s="45">
        <f>'Posição da carteira - mensal'!D24</f>
        <v>1.3880587162810534</v>
      </c>
      <c r="E13" s="45">
        <f>'Posição da carteira - mensal'!E24</f>
        <v>0.1981334502612219</v>
      </c>
      <c r="F13" s="45">
        <f>'Posição da carteira - mensal'!F24</f>
        <v>0.030295573621921316</v>
      </c>
      <c r="G13" s="45">
        <f>'Posição da carteira - mensal'!G24</f>
        <v>0.3903376431389274</v>
      </c>
      <c r="H13" s="45">
        <f>'Posição da carteira - mensal'!H24</f>
        <v>19.828541591321038</v>
      </c>
      <c r="I13" s="45">
        <f>'Posição da carteira - mensal'!I24</f>
        <v>3.100196234673206</v>
      </c>
      <c r="J13" s="45">
        <f>'Posição da carteira - mensal'!J24</f>
        <v>0.07377039663077088</v>
      </c>
      <c r="K13" s="29">
        <f>'Posição da carteira - mensal'!K24</f>
        <v>0.000339756903721079</v>
      </c>
      <c r="L13" s="45">
        <f>'Posição da carteira - mensal'!L24</f>
        <v>0.16955942104701996</v>
      </c>
      <c r="M13" s="45">
        <f>'Posição da carteira - mensal'!M24</f>
        <v>0</v>
      </c>
      <c r="N13" s="45">
        <f>'Posição da carteira - mensal'!N24</f>
        <v>0.8311211157905961</v>
      </c>
      <c r="O13" s="45">
        <f>'Posição da carteira - mensal'!O24</f>
        <v>100.27811422273163</v>
      </c>
      <c r="P13" s="45">
        <f>'Posição da carteira - mensal'!P24</f>
        <v>0</v>
      </c>
      <c r="Q13" s="45">
        <f>'Posição da carteira - mensal'!Q24</f>
        <v>0.16815004158225824</v>
      </c>
      <c r="R13" s="45">
        <f>'Posição da carteira - mensal'!R24</f>
        <v>0.6638845324661478</v>
      </c>
      <c r="S13" s="45">
        <f>'Posição da carteira - mensal'!S24</f>
        <v>0.45091487845186057</v>
      </c>
      <c r="T13" s="45">
        <f>'Posição da carteira - mensal'!T24</f>
        <v>4.0589232188932725</v>
      </c>
      <c r="U13" s="45">
        <f>'Posição da carteira - mensal'!U24</f>
        <v>14.271645230834846</v>
      </c>
      <c r="V13" s="45">
        <f>'Posição da carteira - mensal'!V24</f>
        <v>12.176653437999786</v>
      </c>
      <c r="W13" s="45">
        <f>'Posição da carteira - mensal'!W24</f>
        <v>1.9417100202580233</v>
      </c>
      <c r="X13" s="45">
        <f>'Posição da carteira - mensal'!X24</f>
        <v>1.0225785584817144</v>
      </c>
      <c r="Y13" s="45">
        <f>'Posição da carteira - mensal'!Y24</f>
        <v>111.02623629598038</v>
      </c>
      <c r="Z13" s="45">
        <f>'Posição da carteira - mensal'!Z24</f>
        <v>83.63160795927071</v>
      </c>
      <c r="AA13" s="45">
        <f>'Posição da carteira - mensal'!AA24</f>
        <v>0.009088786651028895</v>
      </c>
      <c r="AB13" s="45">
        <f>'Posição da carteira - mensal'!AB24</f>
        <v>0.6768819943490778</v>
      </c>
      <c r="AC13" s="45">
        <f>'Posição da carteira - mensal'!AC24</f>
        <v>2.176188884209404</v>
      </c>
      <c r="AD13" s="45">
        <f>'Posição da carteira - mensal'!AD24</f>
        <v>4.100642813732808</v>
      </c>
      <c r="AE13" s="45">
        <f>'Posição da carteira - mensal'!AE24</f>
        <v>2.286207309947756</v>
      </c>
      <c r="AF13" s="45">
        <f>'Posição da carteira - mensal'!AF24</f>
        <v>0.9976137898496642</v>
      </c>
    </row>
    <row r="14" spans="1:32" ht="12.75">
      <c r="A14" s="36">
        <v>2012</v>
      </c>
      <c r="B14" s="29">
        <f>'Posição da carteira - mensal'!B36</f>
        <v>226.7858461409347</v>
      </c>
      <c r="C14" s="45">
        <f>'Posição da carteira - mensal'!C36</f>
        <v>4.524980105701004</v>
      </c>
      <c r="D14" s="45">
        <f>'Posição da carteira - mensal'!D36</f>
        <v>1.3045266229508197</v>
      </c>
      <c r="E14" s="45">
        <f>'Posição da carteira - mensal'!E36</f>
        <v>0.31377830682652313</v>
      </c>
      <c r="F14" s="45">
        <f>'Posição da carteira - mensal'!F36</f>
        <v>0.06604057303645706</v>
      </c>
      <c r="G14" s="45">
        <f>'Posição da carteira - mensal'!G36</f>
        <v>1.0080175184732079</v>
      </c>
      <c r="H14" s="45">
        <f>'Posição da carteira - mensal'!H36</f>
        <v>36.28889401321263</v>
      </c>
      <c r="I14" s="45">
        <f>'Posição da carteira - mensal'!I36</f>
        <v>1.5348481345730365</v>
      </c>
      <c r="J14" s="45">
        <f>'Posição da carteira - mensal'!J36</f>
        <v>0.26302633814533893</v>
      </c>
      <c r="K14" s="29">
        <f>'Posição da carteira - mensal'!K36</f>
        <v>0.0007376212380719355</v>
      </c>
      <c r="L14" s="45">
        <f>'Posição da carteira - mensal'!L36</f>
        <v>0.24427751211157328</v>
      </c>
      <c r="M14" s="45">
        <f>'Posição da carteira - mensal'!M36</f>
        <v>0</v>
      </c>
      <c r="N14" s="45">
        <f>'Posição da carteira - mensal'!N36</f>
        <v>1.701266130168828</v>
      </c>
      <c r="O14" s="45">
        <f>'Posição da carteira - mensal'!O36</f>
        <v>118.44970588744802</v>
      </c>
      <c r="P14" s="45">
        <f>'Posição da carteira - mensal'!P36</f>
        <v>0</v>
      </c>
      <c r="Q14" s="45">
        <f>'Posição da carteira - mensal'!Q36</f>
        <v>0.13514833227306092</v>
      </c>
      <c r="R14" s="45">
        <f>'Posição da carteira - mensal'!R36</f>
        <v>0.45710772742843164</v>
      </c>
      <c r="S14" s="45">
        <f>'Posição da carteira - mensal'!S36</f>
        <v>0.4356236809395645</v>
      </c>
      <c r="T14" s="45">
        <f>'Posição da carteira - mensal'!T36</f>
        <v>2.4571164139955957</v>
      </c>
      <c r="U14" s="45">
        <f>'Posição da carteira - mensal'!U36</f>
        <v>19.948291279667238</v>
      </c>
      <c r="V14" s="45">
        <f>'Posição da carteira - mensal'!V36</f>
        <v>16.888977796427696</v>
      </c>
      <c r="W14" s="45">
        <f>'Posição da carteira - mensal'!W36</f>
        <v>2.372898573036457</v>
      </c>
      <c r="X14" s="45">
        <f>'Posição da carteira - mensal'!X36</f>
        <v>2.5986031827746516</v>
      </c>
      <c r="Y14" s="45">
        <f>'Posição da carteira - mensal'!Y36</f>
        <v>240.30264996183018</v>
      </c>
      <c r="Z14" s="45">
        <f>'Posição da carteira - mensal'!Z36</f>
        <v>108.29575151504771</v>
      </c>
      <c r="AA14" s="45">
        <f>'Posição da carteira - mensal'!AA36</f>
        <v>0.010162985563983363</v>
      </c>
      <c r="AB14" s="45">
        <f>'Posição da carteira - mensal'!AB36</f>
        <v>3.821076721800832</v>
      </c>
      <c r="AC14" s="45">
        <f>'Posição da carteira - mensal'!AC36</f>
        <v>0.6049112419867875</v>
      </c>
      <c r="AD14" s="45">
        <f>'Posição da carteira - mensal'!AD36</f>
        <v>3.0863557421091263</v>
      </c>
      <c r="AE14" s="45">
        <f>'Posição da carteira - mensal'!AE36</f>
        <v>3.3403781463175926</v>
      </c>
      <c r="AF14" s="45">
        <f>'Posição da carteira - mensal'!AF36</f>
        <v>1.0599990951798386</v>
      </c>
    </row>
    <row r="15" spans="1:32" ht="12.75">
      <c r="A15" s="36">
        <v>2013</v>
      </c>
      <c r="B15" s="29">
        <f>'Posição da carteira - mensal'!B48</f>
        <v>199.66916293605397</v>
      </c>
      <c r="C15" s="45">
        <f>'Posição da carteira - mensal'!C48</f>
        <v>3.756132490822163</v>
      </c>
      <c r="D15" s="45">
        <f>'Posição da carteira - mensal'!D48</f>
        <v>1.3743695833689062</v>
      </c>
      <c r="E15" s="45">
        <f>'Posição da carteira - mensal'!E48</f>
        <v>0.2807639136002732</v>
      </c>
      <c r="F15" s="45">
        <f>'Posição da carteira - mensal'!F48</f>
        <v>0.06329219926577306</v>
      </c>
      <c r="G15" s="45">
        <f>'Posição da carteira - mensal'!G48</f>
        <v>0.17738309912063518</v>
      </c>
      <c r="H15" s="45">
        <f>'Posição da carteira - mensal'!H48</f>
        <v>22.936206223000084</v>
      </c>
      <c r="I15" s="45">
        <f>'Posição da carteira - mensal'!I48</f>
        <v>8.93206132929224</v>
      </c>
      <c r="J15" s="45">
        <f>'Posição da carteira - mensal'!J48</f>
        <v>0.3388794698198583</v>
      </c>
      <c r="K15" s="29">
        <f>'Posição da carteira - mensal'!K48</f>
        <v>0.00042255741483821396</v>
      </c>
      <c r="L15" s="45">
        <f>'Posição da carteira - mensal'!L48</f>
        <v>0.5014564475369248</v>
      </c>
      <c r="M15" s="45">
        <f>'Posição da carteira - mensal'!M48</f>
        <v>0</v>
      </c>
      <c r="N15" s="45">
        <f>'Posição da carteira - mensal'!N48</f>
        <v>2.183932021258431</v>
      </c>
      <c r="O15" s="45">
        <f>'Posição da carteira - mensal'!O48</f>
        <v>122.09444794629898</v>
      </c>
      <c r="P15" s="45">
        <f>'Posição da carteira - mensal'!P48</f>
        <v>8.153333902501494E-07</v>
      </c>
      <c r="Q15" s="45">
        <f>'Posição da carteira - mensal'!Q48</f>
        <v>0.12668943012037906</v>
      </c>
      <c r="R15" s="45">
        <f>'Posição da carteira - mensal'!R48</f>
        <v>0.3832261141466746</v>
      </c>
      <c r="S15" s="45">
        <f>'Posição da carteira - mensal'!S48</f>
        <v>0.41623204174848455</v>
      </c>
      <c r="T15" s="45">
        <f>'Posição da carteira - mensal'!T48</f>
        <v>5.75271848373602</v>
      </c>
      <c r="U15" s="45">
        <f>'Posição da carteira - mensal'!U48</f>
        <v>26.141948708699736</v>
      </c>
      <c r="V15" s="45">
        <f>'Posição da carteira - mensal'!V48</f>
        <v>11.358614819004524</v>
      </c>
      <c r="W15" s="45">
        <f>'Posição da carteira - mensal'!W48</f>
        <v>5.591932629983779</v>
      </c>
      <c r="X15" s="45">
        <f>'Posição da carteira - mensal'!X48</f>
        <v>3.8396463199009645</v>
      </c>
      <c r="Y15" s="45">
        <f>'Posição da carteira - mensal'!Y48</f>
        <v>152.1762040809357</v>
      </c>
      <c r="Z15" s="45">
        <f>'Posição da carteira - mensal'!Z48</f>
        <v>67.3291428297618</v>
      </c>
      <c r="AA15" s="45">
        <f>'Posição da carteira - mensal'!AA48</f>
        <v>0</v>
      </c>
      <c r="AB15" s="45">
        <f>'Posição da carteira - mensal'!AB48</f>
        <v>3.237433304448049</v>
      </c>
      <c r="AC15" s="45">
        <f>'Posição da carteira - mensal'!AC48</f>
        <v>1.126592124989328</v>
      </c>
      <c r="AD15" s="45">
        <f>'Posição da carteira - mensal'!AD48</f>
        <v>2.3533960505421327</v>
      </c>
      <c r="AE15" s="45">
        <f>'Posição da carteira - mensal'!AE48</f>
        <v>4.546522962520277</v>
      </c>
      <c r="AF15" s="45">
        <f>'Posição da carteira - mensal'!AF48</f>
        <v>1.3986242469905232</v>
      </c>
    </row>
    <row r="16" spans="1:32" ht="12.75">
      <c r="A16" s="36">
        <v>2014</v>
      </c>
      <c r="B16" s="29">
        <f>'Posição da carteira - mensal'!B60</f>
        <v>179.45900292071377</v>
      </c>
      <c r="C16" s="45">
        <f>'Posição da carteira - mensal'!C60</f>
        <v>1.979240275581658</v>
      </c>
      <c r="D16" s="45">
        <f>'Posição da carteira - mensal'!D60</f>
        <v>1.2206576522852195</v>
      </c>
      <c r="E16" s="45">
        <f>'Posição da carteira - mensal'!E60</f>
        <v>0.23154859611475037</v>
      </c>
      <c r="F16" s="45">
        <f>'Posição da carteira - mensal'!F60</f>
        <v>0.09676096302989232</v>
      </c>
      <c r="G16" s="45">
        <f>'Posição da carteira - mensal'!G60</f>
        <v>0.2799202635343724</v>
      </c>
      <c r="H16" s="45">
        <f>'Posição da carteira - mensal'!H60</f>
        <v>20.775309111136206</v>
      </c>
      <c r="I16" s="45">
        <f>'Posição da carteira - mensal'!I60</f>
        <v>8.882393247496424</v>
      </c>
      <c r="J16" s="45">
        <f>'Posição da carteira - mensal'!J60</f>
        <v>0.3696036510804909</v>
      </c>
      <c r="K16" s="29">
        <f>'Posição da carteira - mensal'!K60</f>
        <v>0</v>
      </c>
      <c r="L16" s="45">
        <f>'Posição da carteira - mensal'!L60</f>
        <v>1.8171593509524884</v>
      </c>
      <c r="M16" s="45">
        <f>'Posição da carteira - mensal'!M60</f>
        <v>0</v>
      </c>
      <c r="N16" s="45">
        <f>'Posição da carteira - mensal'!N60</f>
        <v>2.405015523680446</v>
      </c>
      <c r="O16" s="45">
        <f>'Posição da carteira - mensal'!O60</f>
        <v>138.14257306490475</v>
      </c>
      <c r="P16" s="45">
        <f>'Posição da carteira - mensal'!P60</f>
        <v>0</v>
      </c>
      <c r="Q16" s="45">
        <f>'Posição da carteira - mensal'!Q60</f>
        <v>0.0010181774715759355</v>
      </c>
      <c r="R16" s="45">
        <f>'Posição da carteira - mensal'!R60</f>
        <v>0.5472108798283262</v>
      </c>
      <c r="S16" s="45">
        <f>'Posição da carteira - mensal'!S60</f>
        <v>0.3315107582260372</v>
      </c>
      <c r="T16" s="45">
        <f>'Posição da carteira - mensal'!T60</f>
        <v>37.65148761915518</v>
      </c>
      <c r="U16" s="45">
        <f>'Posição da carteira - mensal'!U60</f>
        <v>18.2597192293502</v>
      </c>
      <c r="V16" s="45">
        <f>'Posição da carteira - mensal'!V60</f>
        <v>13.261556225811308</v>
      </c>
      <c r="W16" s="45">
        <f>'Posição da carteira - mensal'!W60</f>
        <v>7.994651537158346</v>
      </c>
      <c r="X16" s="45">
        <f>'Posição da carteira - mensal'!X60</f>
        <v>2.6744641254423613</v>
      </c>
      <c r="Y16" s="45">
        <f>'Posição da carteira - mensal'!Y60</f>
        <v>199.12497126534146</v>
      </c>
      <c r="Z16" s="45">
        <f>'Posição da carteira - mensal'!Z60</f>
        <v>135.75900897259243</v>
      </c>
      <c r="AA16" s="45">
        <f>'Posição da carteira - mensal'!AA60</f>
        <v>0</v>
      </c>
      <c r="AB16" s="45">
        <f>'Posição da carteira - mensal'!AB60</f>
        <v>5.184750239439801</v>
      </c>
      <c r="AC16" s="45">
        <f>'Posição da carteira - mensal'!AC60</f>
        <v>1.4839258798283261</v>
      </c>
      <c r="AD16" s="45">
        <f>'Posição da carteira - mensal'!AD60</f>
        <v>2.3561510556434</v>
      </c>
      <c r="AE16" s="45">
        <f>'Posição da carteira - mensal'!AE60</f>
        <v>4.963880839545215</v>
      </c>
      <c r="AF16" s="45">
        <f>'Posição da carteira - mensal'!AF60</f>
        <v>1.510812305172803</v>
      </c>
    </row>
    <row r="17" spans="1:32" ht="12.75">
      <c r="A17" s="36">
        <v>2015</v>
      </c>
      <c r="B17" s="29">
        <f>'Posição da carteira - mensal'!B72</f>
        <v>107.99908674580004</v>
      </c>
      <c r="C17" s="45">
        <f>'Posição da carteira - mensal'!C72</f>
        <v>1.3648675473775866</v>
      </c>
      <c r="D17" s="45">
        <f>'Posição da carteira - mensal'!D72</f>
        <v>3.1183750007682853</v>
      </c>
      <c r="E17" s="45">
        <f>'Posição da carteira - mensal'!E72</f>
        <v>0.13888966502765826</v>
      </c>
      <c r="F17" s="45">
        <f>'Posição da carteira - mensal'!F72</f>
        <v>0.004122476183159188</v>
      </c>
      <c r="G17" s="45">
        <f>'Posição da carteira - mensal'!G72</f>
        <v>0.4875085625384143</v>
      </c>
      <c r="H17" s="45">
        <f>'Posição da carteira - mensal'!H72</f>
        <v>19.990570518848596</v>
      </c>
      <c r="I17" s="45">
        <f>'Posição da carteira - mensal'!I72</f>
        <v>5.749912225466093</v>
      </c>
      <c r="J17" s="45">
        <f>'Posição da carteira - mensal'!J72</f>
        <v>0.10513710125998771</v>
      </c>
      <c r="K17" s="29">
        <f>'Posição da carteira - mensal'!K72</f>
        <v>0.39212424682442126</v>
      </c>
      <c r="L17" s="45">
        <f>'Posição da carteira - mensal'!L72</f>
        <v>1.4861414005838967</v>
      </c>
      <c r="M17" s="45">
        <f>'Posição da carteira - mensal'!M72</f>
        <v>0</v>
      </c>
      <c r="N17" s="45">
        <f>'Posição da carteira - mensal'!N72</f>
        <v>2.212097503073141</v>
      </c>
      <c r="O17" s="45">
        <f>'Posição da carteira - mensal'!O72</f>
        <v>107.60231357483097</v>
      </c>
      <c r="P17" s="45">
        <f>'Posição da carteira - mensal'!P72</f>
        <v>0.08911032267977874</v>
      </c>
      <c r="Q17" s="45">
        <f>'Posição da carteira - mensal'!Q72</f>
        <v>0.08128103462405245</v>
      </c>
      <c r="R17" s="45">
        <f>'Posição da carteira - mensal'!R72</f>
        <v>0.7226492644949806</v>
      </c>
      <c r="S17" s="45">
        <f>'Posição da carteira - mensal'!S72</f>
        <v>0.2775446965273509</v>
      </c>
      <c r="T17" s="45">
        <f>'Posição da carteira - mensal'!T72</f>
        <v>11.860356429522641</v>
      </c>
      <c r="U17" s="45">
        <f>'Posição da carteira - mensal'!U72</f>
        <v>17.87527111350133</v>
      </c>
      <c r="V17" s="45">
        <f>'Posição da carteira - mensal'!V72</f>
        <v>13.128186482534316</v>
      </c>
      <c r="W17" s="45">
        <f>'Posição da carteira - mensal'!W72</f>
        <v>13.580403860889163</v>
      </c>
      <c r="X17" s="45">
        <f>'Posição da carteira - mensal'!X72</f>
        <v>1.3716402343269822</v>
      </c>
      <c r="Y17" s="45">
        <f>'Posição da carteira - mensal'!Y72</f>
        <v>96.57168201905348</v>
      </c>
      <c r="Z17" s="45">
        <f>'Posição da carteira - mensal'!Z72</f>
        <v>72.79114836099161</v>
      </c>
      <c r="AA17" s="45">
        <f>'Posição da carteira - mensal'!AA72</f>
        <v>0</v>
      </c>
      <c r="AB17" s="45">
        <f>'Posição da carteira - mensal'!AB72</f>
        <v>7.521965688639623</v>
      </c>
      <c r="AC17" s="45">
        <f>'Posição da carteira - mensal'!AC72</f>
        <v>2.6367032065662777</v>
      </c>
      <c r="AD17" s="45">
        <f>'Posição da carteira - mensal'!AD72</f>
        <v>1.6574541541180086</v>
      </c>
      <c r="AE17" s="45">
        <f>'Posição da carteira - mensal'!AE72</f>
        <v>5.648025177217784</v>
      </c>
      <c r="AF17" s="45">
        <f>'Posição da carteira - mensal'!AF72</f>
        <v>1.5958858451137063</v>
      </c>
    </row>
    <row r="18" spans="1:32" ht="12.75">
      <c r="A18" s="36" t="s">
        <v>53</v>
      </c>
      <c r="B18" s="29">
        <f>'Posição da carteira - mensal'!B78</f>
        <v>161.14508190136453</v>
      </c>
      <c r="C18" s="45">
        <f>'Posição da carteira - mensal'!C78</f>
        <v>3.0937928051592</v>
      </c>
      <c r="D18" s="45">
        <f>'Posição da carteira - mensal'!D78</f>
        <v>3.2279919300267927</v>
      </c>
      <c r="E18" s="45">
        <f>'Posição da carteira - mensal'!E78</f>
        <v>0.13665792043117952</v>
      </c>
      <c r="F18" s="45">
        <f>'Posição da carteira - mensal'!F78</f>
        <v>0.030146166739360707</v>
      </c>
      <c r="G18" s="45">
        <f>'Posição da carteira - mensal'!G78</f>
        <v>0.3625839927721353</v>
      </c>
      <c r="H18" s="45">
        <f>'Posição da carteira - mensal'!H78</f>
        <v>26.61909256246495</v>
      </c>
      <c r="I18" s="45">
        <f>'Posição da carteira - mensal'!I78</f>
        <v>7.645631794504331</v>
      </c>
      <c r="J18" s="45">
        <f>'Posição da carteira - mensal'!J78</f>
        <v>0.5163826792946601</v>
      </c>
      <c r="K18" s="29">
        <f>'Posição da carteira - mensal'!K78</f>
        <v>0.004018038195526201</v>
      </c>
      <c r="L18" s="45">
        <f>'Posição da carteira - mensal'!L78</f>
        <v>1.0596030288491494</v>
      </c>
      <c r="M18" s="45">
        <f>'Posição da carteira - mensal'!M78</f>
        <v>0</v>
      </c>
      <c r="N18" s="45">
        <f>'Posição da carteira - mensal'!N78</f>
        <v>2.8470281896068292</v>
      </c>
      <c r="O18" s="45">
        <f>'Posição da carteira - mensal'!O78</f>
        <v>132.51847544146054</v>
      </c>
      <c r="P18" s="45">
        <f>'Posição da carteira - mensal'!P78</f>
        <v>0</v>
      </c>
      <c r="Q18" s="45">
        <f>'Posição da carteira - mensal'!Q78</f>
        <v>0.00914971431241822</v>
      </c>
      <c r="R18" s="45">
        <f>'Posição da carteira - mensal'!R78</f>
        <v>0.37013538756308806</v>
      </c>
      <c r="S18" s="45">
        <f>'Posição da carteira - mensal'!S78</f>
        <v>0.2505680942737865</v>
      </c>
      <c r="T18" s="45">
        <f>'Posição da carteira - mensal'!T78</f>
        <v>5.144279025172907</v>
      </c>
      <c r="U18" s="45">
        <f>'Posição da carteira - mensal'!U78</f>
        <v>28.33549208798056</v>
      </c>
      <c r="V18" s="45">
        <f>'Posição da carteira - mensal'!V78</f>
        <v>13.514293589320207</v>
      </c>
      <c r="W18" s="45">
        <f>'Posição da carteira - mensal'!W78</f>
        <v>14.885421155523709</v>
      </c>
      <c r="X18" s="45">
        <f>'Posição da carteira - mensal'!X78</f>
        <v>2.729409610567637</v>
      </c>
      <c r="Y18" s="45">
        <f>'Posição da carteira - mensal'!Y78</f>
        <v>153.4611926250857</v>
      </c>
      <c r="Z18" s="45">
        <f>'Posição da carteira - mensal'!Z78</f>
        <v>107.0470115879494</v>
      </c>
      <c r="AA18" s="45">
        <f>'Posição da carteira - mensal'!AA78</f>
        <v>0.00021953860053585894</v>
      </c>
      <c r="AB18" s="45">
        <f>'Posição da carteira - mensal'!AB78</f>
        <v>9.302614090909092</v>
      </c>
      <c r="AC18" s="45">
        <f>'Posição da carteira - mensal'!AC78</f>
        <v>1.382557064614618</v>
      </c>
      <c r="AD18" s="45">
        <f>'Posição da carteira - mensal'!AD78</f>
        <v>1.7678776154277527</v>
      </c>
      <c r="AE18" s="45">
        <f>'Posição da carteira - mensal'!AE78</f>
        <v>4.989979876627827</v>
      </c>
      <c r="AF18" s="45">
        <f>'Posição da carteira - mensal'!AF78</f>
        <v>2.4188723048164995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50"/>
  <sheetViews>
    <sheetView showGridLines="0" zoomScalePageLayoutView="0" workbookViewId="0" topLeftCell="A1">
      <pane xSplit="1" ySplit="12" topLeftCell="B1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50" sqref="A150"/>
    </sheetView>
  </sheetViews>
  <sheetFormatPr defaultColWidth="9.140625" defaultRowHeight="12.75"/>
  <cols>
    <col min="1" max="1" width="13.8515625" style="13" customWidth="1"/>
    <col min="2" max="2" width="21.8515625" style="11" customWidth="1"/>
    <col min="3" max="3" width="12.57421875" style="14" customWidth="1"/>
    <col min="4" max="4" width="19.57421875" style="14" customWidth="1"/>
    <col min="5" max="5" width="9.8515625" style="14" customWidth="1"/>
    <col min="6" max="6" width="14.140625" style="14" customWidth="1"/>
    <col min="7" max="7" width="13.7109375" style="14" customWidth="1"/>
    <col min="8" max="8" width="10.00390625" style="14" customWidth="1"/>
    <col min="9" max="44" width="9.140625" style="11" customWidth="1"/>
    <col min="45" max="16384" width="9.140625" style="12" customWidth="1"/>
  </cols>
  <sheetData>
    <row r="1" spans="1:41" s="5" customFormat="1" ht="12.75">
      <c r="A1" s="16" t="s">
        <v>41</v>
      </c>
      <c r="B1" s="1"/>
      <c r="C1" s="2"/>
      <c r="D1" s="2"/>
      <c r="E1" s="2"/>
      <c r="F1" s="3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2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5" customFormat="1" ht="12.75">
      <c r="A2" s="16"/>
      <c r="B2" s="1"/>
      <c r="C2" s="2"/>
      <c r="D2" s="2"/>
      <c r="E2" s="2"/>
      <c r="F2" s="3"/>
      <c r="G2" s="2"/>
      <c r="H2" s="2"/>
      <c r="I2" s="2"/>
      <c r="J2" s="4"/>
      <c r="K2" s="4"/>
      <c r="L2" s="4"/>
      <c r="M2" s="4"/>
      <c r="N2" s="4"/>
      <c r="O2" s="4"/>
      <c r="P2" s="4"/>
      <c r="Q2" s="2"/>
      <c r="R2" s="2"/>
      <c r="S2" s="2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5" customFormat="1" ht="12.75">
      <c r="A3" s="47"/>
      <c r="B3" s="48"/>
      <c r="C3" s="48"/>
      <c r="D3" s="48"/>
      <c r="E3" s="48"/>
      <c r="F3" s="48"/>
      <c r="G3" s="2"/>
      <c r="H3" s="2"/>
      <c r="I3" s="2"/>
      <c r="J3" s="4"/>
      <c r="K3" s="4"/>
      <c r="L3" s="4"/>
      <c r="M3" s="4"/>
      <c r="N3" s="4"/>
      <c r="O3" s="4"/>
      <c r="P3" s="4"/>
      <c r="Q3" s="2"/>
      <c r="R3" s="2"/>
      <c r="S3" s="2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5" customFormat="1" ht="12.75">
      <c r="A4" s="26"/>
      <c r="B4" s="27"/>
      <c r="C4" s="27"/>
      <c r="D4" s="27"/>
      <c r="E4" s="27"/>
      <c r="F4" s="27"/>
      <c r="G4" s="2"/>
      <c r="H4" s="2"/>
      <c r="I4" s="2"/>
      <c r="J4" s="4"/>
      <c r="K4" s="4"/>
      <c r="L4" s="4"/>
      <c r="M4" s="4"/>
      <c r="N4" s="4"/>
      <c r="O4" s="4"/>
      <c r="P4" s="4"/>
      <c r="Q4" s="2"/>
      <c r="R4" s="2"/>
      <c r="S4" s="2"/>
      <c r="T4" s="4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5" customFormat="1" ht="12.75">
      <c r="A5" s="46"/>
      <c r="B5" s="27"/>
      <c r="C5" s="27"/>
      <c r="D5" s="27"/>
      <c r="E5" s="27"/>
      <c r="F5" s="27"/>
      <c r="G5" s="2"/>
      <c r="H5" s="2"/>
      <c r="I5" s="2"/>
      <c r="J5" s="4"/>
      <c r="K5" s="4"/>
      <c r="L5" s="4"/>
      <c r="M5" s="4"/>
      <c r="N5" s="4"/>
      <c r="O5" s="4"/>
      <c r="P5" s="4"/>
      <c r="Q5" s="2"/>
      <c r="R5" s="2"/>
      <c r="S5" s="2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>
      <c r="A6" s="26"/>
      <c r="B6" s="27"/>
      <c r="C6" s="27"/>
      <c r="D6" s="27"/>
      <c r="E6" s="27"/>
      <c r="F6" s="27"/>
      <c r="G6" s="2"/>
      <c r="H6" s="2"/>
      <c r="I6" s="2"/>
      <c r="J6" s="4"/>
      <c r="K6" s="4"/>
      <c r="L6" s="4"/>
      <c r="M6" s="4"/>
      <c r="N6" s="4"/>
      <c r="O6" s="4"/>
      <c r="P6" s="4"/>
      <c r="Q6" s="2"/>
      <c r="R6" s="2"/>
      <c r="S6" s="2"/>
      <c r="T6" s="4"/>
      <c r="U6" s="4"/>
      <c r="V6" s="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5" customFormat="1" ht="12.75">
      <c r="A7" s="26"/>
      <c r="B7" s="27"/>
      <c r="C7" s="27"/>
      <c r="D7" s="27"/>
      <c r="E7" s="27"/>
      <c r="F7" s="27"/>
      <c r="G7" s="2"/>
      <c r="H7" s="2"/>
      <c r="I7" s="2"/>
      <c r="J7" s="4"/>
      <c r="K7" s="4"/>
      <c r="L7" s="4"/>
      <c r="M7" s="4"/>
      <c r="N7" s="4"/>
      <c r="O7" s="4"/>
      <c r="P7" s="4"/>
      <c r="Q7" s="2"/>
      <c r="R7" s="2"/>
      <c r="S7" s="2"/>
      <c r="T7" s="4"/>
      <c r="U7" s="4"/>
      <c r="V7" s="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5" customFormat="1" ht="12.75">
      <c r="A8" s="26"/>
      <c r="B8" s="27"/>
      <c r="C8" s="27"/>
      <c r="D8" s="27"/>
      <c r="E8" s="27"/>
      <c r="F8" s="27"/>
      <c r="G8" s="2"/>
      <c r="H8" s="2"/>
      <c r="I8" s="2"/>
      <c r="J8" s="4"/>
      <c r="K8" s="4"/>
      <c r="L8" s="4"/>
      <c r="M8" s="4"/>
      <c r="N8" s="4"/>
      <c r="O8" s="4"/>
      <c r="P8" s="4"/>
      <c r="Q8" s="2"/>
      <c r="R8" s="2"/>
      <c r="S8" s="2"/>
      <c r="T8" s="4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5" customFormat="1" ht="12.75">
      <c r="A9" s="16"/>
      <c r="B9" s="1"/>
      <c r="C9" s="2"/>
      <c r="D9" s="2"/>
      <c r="E9" s="2"/>
      <c r="F9" s="3"/>
      <c r="G9" s="2"/>
      <c r="H9" s="2"/>
      <c r="I9" s="2"/>
      <c r="J9" s="4"/>
      <c r="K9" s="4"/>
      <c r="L9" s="4"/>
      <c r="M9" s="4"/>
      <c r="N9" s="4"/>
      <c r="O9" s="4"/>
      <c r="P9" s="4"/>
      <c r="Q9" s="2"/>
      <c r="R9" s="2"/>
      <c r="S9" s="2"/>
      <c r="T9" s="4"/>
      <c r="U9" s="4"/>
      <c r="V9" s="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5" customFormat="1" ht="12.75">
      <c r="A10" s="16"/>
      <c r="B10" s="1"/>
      <c r="C10" s="2"/>
      <c r="D10" s="2"/>
      <c r="E10" s="2"/>
      <c r="F10" s="3"/>
      <c r="G10" s="2"/>
      <c r="H10" s="2"/>
      <c r="I10" s="2"/>
      <c r="J10" s="4"/>
      <c r="K10" s="4"/>
      <c r="L10" s="4"/>
      <c r="M10" s="4"/>
      <c r="N10" s="4"/>
      <c r="O10" s="4"/>
      <c r="P10" s="4"/>
      <c r="Q10" s="2"/>
      <c r="R10" s="2"/>
      <c r="S10" s="2"/>
      <c r="T10" s="4"/>
      <c r="U10" s="4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4" s="8" customFormat="1" ht="25.5" customHeight="1" thickBot="1">
      <c r="A11" s="6"/>
      <c r="B11" s="54"/>
      <c r="C11" s="54"/>
      <c r="D11" s="54"/>
      <c r="E11" s="54"/>
      <c r="F11" s="54"/>
      <c r="G11" s="54"/>
      <c r="H11" s="5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6.25" thickBot="1">
      <c r="A12" s="30" t="s">
        <v>0</v>
      </c>
      <c r="B12" s="34" t="s">
        <v>11</v>
      </c>
      <c r="C12" s="34" t="s">
        <v>1</v>
      </c>
      <c r="D12" s="34" t="s">
        <v>2</v>
      </c>
      <c r="E12" s="34" t="s">
        <v>3</v>
      </c>
      <c r="F12" s="34" t="s">
        <v>4</v>
      </c>
      <c r="G12" s="34" t="s">
        <v>5</v>
      </c>
      <c r="H12" s="34" t="s">
        <v>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5" s="11" customFormat="1" ht="12.75">
      <c r="A13" s="28">
        <v>38353</v>
      </c>
      <c r="B13" s="29">
        <v>28.64</v>
      </c>
      <c r="C13" s="33">
        <v>0.0895</v>
      </c>
      <c r="D13" s="33">
        <v>0</v>
      </c>
      <c r="E13" s="33">
        <v>0.8934</v>
      </c>
      <c r="F13" s="33">
        <v>0.0066</v>
      </c>
      <c r="G13" s="33">
        <v>0.0031</v>
      </c>
      <c r="H13" s="33">
        <v>0.0074</v>
      </c>
      <c r="AS13" s="12"/>
    </row>
    <row r="14" spans="1:45" s="11" customFormat="1" ht="12.75">
      <c r="A14" s="28">
        <v>38384</v>
      </c>
      <c r="B14" s="29">
        <v>34.4963347876686</v>
      </c>
      <c r="C14" s="33">
        <v>0.08641340513725602</v>
      </c>
      <c r="D14" s="33">
        <v>0</v>
      </c>
      <c r="E14" s="33">
        <v>0.8793886369447131</v>
      </c>
      <c r="F14" s="33">
        <v>0.028462900394608005</v>
      </c>
      <c r="G14" s="33">
        <v>0.0024230069952487377</v>
      </c>
      <c r="H14" s="33">
        <v>0.0033120505281739898</v>
      </c>
      <c r="AS14" s="12"/>
    </row>
    <row r="15" spans="1:45" s="11" customFormat="1" ht="12.75">
      <c r="A15" s="28">
        <v>38412</v>
      </c>
      <c r="B15" s="29">
        <v>33.7638823662891</v>
      </c>
      <c r="C15" s="33">
        <v>0.0810196050418862</v>
      </c>
      <c r="D15" s="33">
        <v>0</v>
      </c>
      <c r="E15" s="33">
        <v>0.8863146082249266</v>
      </c>
      <c r="F15" s="33">
        <v>0.019534767033614748</v>
      </c>
      <c r="G15" s="33">
        <v>0.004481083410933939</v>
      </c>
      <c r="H15" s="33">
        <v>0.00864993628863839</v>
      </c>
      <c r="AS15" s="12"/>
    </row>
    <row r="16" spans="1:45" s="11" customFormat="1" ht="12.75">
      <c r="A16" s="28">
        <v>38443</v>
      </c>
      <c r="B16" s="29">
        <v>32.44942666693</v>
      </c>
      <c r="C16" s="33">
        <v>0.10618603817902318</v>
      </c>
      <c r="D16" s="33">
        <v>0</v>
      </c>
      <c r="E16" s="33">
        <v>0.8691890314394038</v>
      </c>
      <c r="F16" s="33">
        <v>0.015427054813887373</v>
      </c>
      <c r="G16" s="33">
        <v>0.008002688255222193</v>
      </c>
      <c r="H16" s="49">
        <v>0.001195187312463397</v>
      </c>
      <c r="I16" s="2"/>
      <c r="AS16" s="12"/>
    </row>
    <row r="17" spans="1:45" s="11" customFormat="1" ht="12.75">
      <c r="A17" s="28">
        <v>38473</v>
      </c>
      <c r="B17" s="29">
        <v>34.868</v>
      </c>
      <c r="C17" s="33">
        <v>0.1159</v>
      </c>
      <c r="D17" s="33">
        <v>0</v>
      </c>
      <c r="E17" s="33">
        <v>0.8545</v>
      </c>
      <c r="F17" s="33">
        <v>0.0203</v>
      </c>
      <c r="G17" s="33">
        <v>0.0036</v>
      </c>
      <c r="H17" s="33">
        <v>0.0057</v>
      </c>
      <c r="I17" s="50"/>
      <c r="AS17" s="12"/>
    </row>
    <row r="18" spans="1:45" s="11" customFormat="1" ht="12.75">
      <c r="A18" s="28">
        <v>38504</v>
      </c>
      <c r="B18" s="29">
        <v>36.934</v>
      </c>
      <c r="C18" s="33">
        <v>0.1146</v>
      </c>
      <c r="D18" s="33">
        <v>0</v>
      </c>
      <c r="E18" s="33">
        <v>0.8679</v>
      </c>
      <c r="F18" s="33">
        <v>0.01</v>
      </c>
      <c r="G18" s="33">
        <v>0.0029</v>
      </c>
      <c r="H18" s="33">
        <v>0.0045</v>
      </c>
      <c r="AS18" s="12"/>
    </row>
    <row r="19" spans="1:45" s="11" customFormat="1" ht="12.75">
      <c r="A19" s="28">
        <v>38534</v>
      </c>
      <c r="B19" s="29">
        <v>37.756</v>
      </c>
      <c r="C19" s="33">
        <v>0.1038</v>
      </c>
      <c r="D19" s="33">
        <v>0</v>
      </c>
      <c r="E19" s="33">
        <v>0.8774</v>
      </c>
      <c r="F19" s="33">
        <v>0.0112</v>
      </c>
      <c r="G19" s="33">
        <v>0.0033</v>
      </c>
      <c r="H19" s="33">
        <v>0.0043</v>
      </c>
      <c r="AS19" s="12"/>
    </row>
    <row r="20" spans="1:45" s="11" customFormat="1" ht="12.75">
      <c r="A20" s="28">
        <v>38565</v>
      </c>
      <c r="B20" s="29">
        <v>43.185</v>
      </c>
      <c r="C20" s="33">
        <v>0.0953</v>
      </c>
      <c r="D20" s="33">
        <v>0</v>
      </c>
      <c r="E20" s="33">
        <v>0.8726</v>
      </c>
      <c r="F20" s="33">
        <v>0.0243</v>
      </c>
      <c r="G20" s="33">
        <v>0.0032</v>
      </c>
      <c r="H20" s="33">
        <v>0.0046</v>
      </c>
      <c r="AS20" s="12"/>
    </row>
    <row r="21" spans="1:45" s="11" customFormat="1" ht="12.75">
      <c r="A21" s="28">
        <v>38596</v>
      </c>
      <c r="B21" s="29">
        <v>51.023</v>
      </c>
      <c r="C21" s="33">
        <v>0.0925</v>
      </c>
      <c r="D21" s="33">
        <v>0</v>
      </c>
      <c r="E21" s="33">
        <v>0.8638</v>
      </c>
      <c r="F21" s="33">
        <v>0.0251</v>
      </c>
      <c r="G21" s="33">
        <v>0.0028</v>
      </c>
      <c r="H21" s="33">
        <v>0.0159</v>
      </c>
      <c r="AS21" s="12"/>
    </row>
    <row r="22" spans="1:45" s="11" customFormat="1" ht="12.75">
      <c r="A22" s="28">
        <v>38626</v>
      </c>
      <c r="B22" s="29">
        <v>49.653</v>
      </c>
      <c r="C22" s="33">
        <v>0.0932</v>
      </c>
      <c r="D22" s="33">
        <v>0</v>
      </c>
      <c r="E22" s="33">
        <v>0.8786</v>
      </c>
      <c r="F22" s="33">
        <v>0.0091</v>
      </c>
      <c r="G22" s="33">
        <v>0.0028</v>
      </c>
      <c r="H22" s="33">
        <v>0.0164</v>
      </c>
      <c r="AS22" s="12"/>
    </row>
    <row r="23" spans="1:45" s="11" customFormat="1" ht="12.75">
      <c r="A23" s="28">
        <v>38657</v>
      </c>
      <c r="B23" s="29">
        <v>53.433</v>
      </c>
      <c r="C23" s="33">
        <v>0.0916</v>
      </c>
      <c r="D23" s="33">
        <v>0</v>
      </c>
      <c r="E23" s="33">
        <v>0.88</v>
      </c>
      <c r="F23" s="33">
        <v>0.0097</v>
      </c>
      <c r="G23" s="33">
        <v>0.0045</v>
      </c>
      <c r="H23" s="33">
        <v>0.0143</v>
      </c>
      <c r="AS23" s="12"/>
    </row>
    <row r="24" spans="1:45" s="11" customFormat="1" ht="12.75">
      <c r="A24" s="28">
        <v>38687</v>
      </c>
      <c r="B24" s="29">
        <v>53.438</v>
      </c>
      <c r="C24" s="33">
        <v>0.0684</v>
      </c>
      <c r="D24" s="33">
        <v>0</v>
      </c>
      <c r="E24" s="33">
        <v>0.9099</v>
      </c>
      <c r="F24" s="33">
        <v>0.0041</v>
      </c>
      <c r="G24" s="33">
        <v>0.0023</v>
      </c>
      <c r="H24" s="33">
        <v>0.0153</v>
      </c>
      <c r="AS24" s="12"/>
    </row>
    <row r="25" spans="1:45" s="11" customFormat="1" ht="12.75">
      <c r="A25" s="28">
        <v>38718</v>
      </c>
      <c r="B25" s="29">
        <v>73.266</v>
      </c>
      <c r="C25" s="33">
        <v>0.06514395611503272</v>
      </c>
      <c r="D25" s="33">
        <v>0</v>
      </c>
      <c r="E25" s="33">
        <v>0.8697952789992581</v>
      </c>
      <c r="F25" s="33">
        <v>0.02906277551407268</v>
      </c>
      <c r="G25" s="33">
        <v>0.0019519413286574368</v>
      </c>
      <c r="H25" s="33">
        <v>0.03404604804297901</v>
      </c>
      <c r="AS25" s="12"/>
    </row>
    <row r="26" spans="1:45" s="11" customFormat="1" ht="12.75">
      <c r="A26" s="28">
        <v>38749</v>
      </c>
      <c r="B26" s="29">
        <v>75.156</v>
      </c>
      <c r="C26" s="33">
        <v>0.0782</v>
      </c>
      <c r="D26" s="33">
        <v>0</v>
      </c>
      <c r="E26" s="33">
        <v>0.86</v>
      </c>
      <c r="F26" s="33">
        <v>0.0205</v>
      </c>
      <c r="G26" s="33">
        <v>0.0053</v>
      </c>
      <c r="H26" s="33">
        <v>0.0361</v>
      </c>
      <c r="AS26" s="12"/>
    </row>
    <row r="27" spans="1:45" s="11" customFormat="1" ht="12.75">
      <c r="A27" s="28">
        <v>38777</v>
      </c>
      <c r="B27" s="29">
        <v>76.98673</v>
      </c>
      <c r="C27" s="33">
        <v>0.1425898574668515</v>
      </c>
      <c r="D27" s="33">
        <v>0</v>
      </c>
      <c r="E27" s="33">
        <v>0.8069710767637029</v>
      </c>
      <c r="F27" s="33">
        <v>0.010074215444204686</v>
      </c>
      <c r="G27" s="33">
        <v>0.005757428888207113</v>
      </c>
      <c r="H27" s="33">
        <v>0.03460742143703373</v>
      </c>
      <c r="AS27" s="12"/>
    </row>
    <row r="28" spans="1:45" s="11" customFormat="1" ht="12.75">
      <c r="A28" s="28">
        <v>38808</v>
      </c>
      <c r="B28" s="29">
        <v>83.321180547578</v>
      </c>
      <c r="C28" s="33">
        <v>0.1448901126421823</v>
      </c>
      <c r="D28" s="33">
        <v>0</v>
      </c>
      <c r="E28" s="33">
        <v>0.8048800424429959</v>
      </c>
      <c r="F28" s="33">
        <v>0.010374059306238722</v>
      </c>
      <c r="G28" s="33">
        <v>0.008202396539731103</v>
      </c>
      <c r="H28" s="33">
        <v>0.03165338906885182</v>
      </c>
      <c r="AS28" s="12"/>
    </row>
    <row r="29" spans="1:45" s="11" customFormat="1" ht="12.75">
      <c r="A29" s="28">
        <v>38838</v>
      </c>
      <c r="B29" s="29">
        <v>72.2048745026733</v>
      </c>
      <c r="C29" s="33">
        <v>0.15403318505784314</v>
      </c>
      <c r="D29" s="33">
        <v>0</v>
      </c>
      <c r="E29" s="33">
        <v>0.8023590113603749</v>
      </c>
      <c r="F29" s="33">
        <v>0.011169954603610727</v>
      </c>
      <c r="G29" s="33">
        <v>0.0037786723574416096</v>
      </c>
      <c r="H29" s="33">
        <v>0.02865917662072957</v>
      </c>
      <c r="AS29" s="12"/>
    </row>
    <row r="30" spans="1:45" s="11" customFormat="1" ht="12.75">
      <c r="A30" s="28">
        <v>38869</v>
      </c>
      <c r="B30" s="29">
        <v>77.6145011920714</v>
      </c>
      <c r="C30" s="33">
        <v>0.15310953127197796</v>
      </c>
      <c r="D30" s="33">
        <v>0</v>
      </c>
      <c r="E30" s="33">
        <v>0.8012028451664132</v>
      </c>
      <c r="F30" s="33">
        <v>0.010862158087641311</v>
      </c>
      <c r="G30" s="33">
        <v>0.003251287162797724</v>
      </c>
      <c r="H30" s="33">
        <v>0.03157417831116972</v>
      </c>
      <c r="AS30" s="12"/>
    </row>
    <row r="31" spans="1:45" s="11" customFormat="1" ht="12.75">
      <c r="A31" s="28">
        <v>38899</v>
      </c>
      <c r="B31" s="29">
        <v>77.70240643606738</v>
      </c>
      <c r="C31" s="33">
        <v>0.14884298075862942</v>
      </c>
      <c r="D31" s="33">
        <v>0</v>
      </c>
      <c r="E31" s="33">
        <v>0.8241153171122622</v>
      </c>
      <c r="F31" s="33">
        <v>0.01088002678257459</v>
      </c>
      <c r="G31" s="33">
        <v>0.0048969662263076506</v>
      </c>
      <c r="H31" s="33">
        <v>0.01126470912022621</v>
      </c>
      <c r="AS31" s="12"/>
    </row>
    <row r="32" spans="1:45" s="11" customFormat="1" ht="12.75">
      <c r="A32" s="28">
        <v>38930</v>
      </c>
      <c r="B32" s="29">
        <v>78.5294317978459</v>
      </c>
      <c r="C32" s="33">
        <v>0.15023470362272956</v>
      </c>
      <c r="D32" s="33">
        <v>0</v>
      </c>
      <c r="E32" s="33">
        <v>0.8236902605763048</v>
      </c>
      <c r="F32" s="33">
        <v>0.011906985931671936</v>
      </c>
      <c r="G32" s="33">
        <v>0.0054548802704471</v>
      </c>
      <c r="H32" s="33">
        <v>0.00871316959884655</v>
      </c>
      <c r="AS32" s="12"/>
    </row>
    <row r="33" spans="1:45" s="11" customFormat="1" ht="12.75">
      <c r="A33" s="28">
        <v>38961</v>
      </c>
      <c r="B33" s="29">
        <v>79.4008722987766</v>
      </c>
      <c r="C33" s="33">
        <v>0.15765411847692143</v>
      </c>
      <c r="D33" s="33">
        <v>0</v>
      </c>
      <c r="E33" s="33">
        <v>0.8252409802231232</v>
      </c>
      <c r="F33" s="33">
        <v>0.008044249760600024</v>
      </c>
      <c r="G33" s="33">
        <v>0.0036795380573968212</v>
      </c>
      <c r="H33" s="33">
        <v>0.005381113481958583</v>
      </c>
      <c r="AS33" s="12"/>
    </row>
    <row r="34" spans="1:45" s="11" customFormat="1" ht="12.75">
      <c r="A34" s="28">
        <v>38991</v>
      </c>
      <c r="B34" s="29">
        <v>87.71648087680822</v>
      </c>
      <c r="C34" s="33">
        <v>0.15533450168404314</v>
      </c>
      <c r="D34" s="33">
        <v>0</v>
      </c>
      <c r="E34" s="33">
        <v>0.8245322219623729</v>
      </c>
      <c r="F34" s="33">
        <v>0.010529645657654322</v>
      </c>
      <c r="G34" s="33">
        <v>0.0033571181426473168</v>
      </c>
      <c r="H34" s="33">
        <v>0.006246512553282402</v>
      </c>
      <c r="AS34" s="12"/>
    </row>
    <row r="35" spans="1:45" s="11" customFormat="1" ht="12.75">
      <c r="A35" s="28">
        <v>39022</v>
      </c>
      <c r="B35" s="29">
        <v>92.99046434696325</v>
      </c>
      <c r="C35" s="33">
        <v>0.15417024571169752</v>
      </c>
      <c r="D35" s="33">
        <v>0</v>
      </c>
      <c r="E35" s="33">
        <v>0.8266783874308449</v>
      </c>
      <c r="F35" s="33">
        <v>0.011022576902779416</v>
      </c>
      <c r="G35" s="33">
        <v>0.0029960113628062822</v>
      </c>
      <c r="H35" s="33">
        <v>0.005132778591871999</v>
      </c>
      <c r="AS35" s="12"/>
    </row>
    <row r="36" spans="1:45" s="11" customFormat="1" ht="12.75">
      <c r="A36" s="28">
        <v>39052</v>
      </c>
      <c r="B36" s="29">
        <v>101.60116423526661</v>
      </c>
      <c r="C36" s="33">
        <v>0.1688642859891663</v>
      </c>
      <c r="D36" s="33">
        <v>0</v>
      </c>
      <c r="E36" s="33">
        <v>0.8168563548023822</v>
      </c>
      <c r="F36" s="33">
        <v>0.004376014398756471</v>
      </c>
      <c r="G36" s="33">
        <v>0.0031733169944388523</v>
      </c>
      <c r="H36" s="33">
        <v>0.006730027815256247</v>
      </c>
      <c r="AS36" s="12"/>
    </row>
    <row r="37" spans="1:45" s="11" customFormat="1" ht="12.75">
      <c r="A37" s="28">
        <v>39083</v>
      </c>
      <c r="B37" s="29">
        <v>104.64221525062364</v>
      </c>
      <c r="C37" s="33">
        <v>0.1736060785609964</v>
      </c>
      <c r="D37" s="33">
        <v>0</v>
      </c>
      <c r="E37" s="33">
        <v>0.8141671388754356</v>
      </c>
      <c r="F37" s="33">
        <v>0.0078130225378412</v>
      </c>
      <c r="G37" s="33">
        <v>0.0003517295286601313</v>
      </c>
      <c r="H37" s="33">
        <v>0.004062030497066721</v>
      </c>
      <c r="AS37" s="12"/>
    </row>
    <row r="38" spans="1:45" s="11" customFormat="1" ht="12.75">
      <c r="A38" s="28">
        <v>39114</v>
      </c>
      <c r="B38" s="29">
        <v>107.44326610282316</v>
      </c>
      <c r="C38" s="33">
        <v>0.1804534986265499</v>
      </c>
      <c r="D38" s="33">
        <v>0</v>
      </c>
      <c r="E38" s="33">
        <v>0.8020570535299525</v>
      </c>
      <c r="F38" s="33">
        <v>0.012786893469549636</v>
      </c>
      <c r="G38" s="33">
        <v>0.0007006900793263004</v>
      </c>
      <c r="H38" s="33">
        <v>0.004001864294621625</v>
      </c>
      <c r="AS38" s="12"/>
    </row>
    <row r="39" spans="1:45" s="11" customFormat="1" ht="12.75">
      <c r="A39" s="28">
        <v>39142</v>
      </c>
      <c r="B39" s="29">
        <v>115.026281711861</v>
      </c>
      <c r="C39" s="33">
        <v>0.19341699060609616</v>
      </c>
      <c r="D39" s="33">
        <v>0</v>
      </c>
      <c r="E39" s="33">
        <v>0.7927561226595087</v>
      </c>
      <c r="F39" s="33">
        <v>0.009985921832535745</v>
      </c>
      <c r="G39" s="33">
        <v>0.00036211369747198485</v>
      </c>
      <c r="H39" s="33">
        <v>0.003478851204387536</v>
      </c>
      <c r="AS39" s="12"/>
    </row>
    <row r="40" spans="1:45" s="11" customFormat="1" ht="12.75">
      <c r="A40" s="28">
        <v>39173</v>
      </c>
      <c r="B40" s="29">
        <v>123.970799709937</v>
      </c>
      <c r="C40" s="33">
        <v>0.1975283781811178</v>
      </c>
      <c r="D40" s="33">
        <v>0</v>
      </c>
      <c r="E40" s="33">
        <v>0.7906442496933193</v>
      </c>
      <c r="F40" s="33">
        <v>0.007753329449188634</v>
      </c>
      <c r="G40" s="33">
        <v>0.0005813338351986268</v>
      </c>
      <c r="H40" s="33">
        <v>0.003492708841175748</v>
      </c>
      <c r="AS40" s="12"/>
    </row>
    <row r="41" spans="1:45" s="11" customFormat="1" ht="12.75">
      <c r="A41" s="28">
        <v>39203</v>
      </c>
      <c r="B41" s="29">
        <v>150.253945231479</v>
      </c>
      <c r="C41" s="33">
        <v>0.2102155775402728</v>
      </c>
      <c r="D41" s="33">
        <v>0</v>
      </c>
      <c r="E41" s="33">
        <v>0.774150088098173</v>
      </c>
      <c r="F41" s="33">
        <v>0.011553304479572264</v>
      </c>
      <c r="G41" s="33">
        <v>0.0009019053320216052</v>
      </c>
      <c r="H41" s="33">
        <v>0.0031791245499603314</v>
      </c>
      <c r="AS41" s="12"/>
    </row>
    <row r="42" spans="1:45" s="11" customFormat="1" ht="12.75">
      <c r="A42" s="28">
        <v>39234</v>
      </c>
      <c r="B42" s="29">
        <v>153.610100139134</v>
      </c>
      <c r="C42" s="33">
        <v>0.21973386997178265</v>
      </c>
      <c r="D42" s="33">
        <v>0</v>
      </c>
      <c r="E42" s="33">
        <v>0.7660560969684745</v>
      </c>
      <c r="F42" s="33">
        <v>0.006556753589257662</v>
      </c>
      <c r="G42" s="33">
        <v>0.00211719502780146</v>
      </c>
      <c r="H42" s="33">
        <v>0.005536084442683759</v>
      </c>
      <c r="AS42" s="12"/>
    </row>
    <row r="43" spans="1:45" s="11" customFormat="1" ht="12.75">
      <c r="A43" s="28">
        <v>39264</v>
      </c>
      <c r="B43" s="29">
        <v>169.017735794099</v>
      </c>
      <c r="C43" s="33">
        <v>0.2099515502723518</v>
      </c>
      <c r="D43" s="33">
        <v>0</v>
      </c>
      <c r="E43" s="33">
        <v>0.7705712971381065</v>
      </c>
      <c r="F43" s="33">
        <v>0.009018055894036332</v>
      </c>
      <c r="G43" s="33">
        <v>0.0004530273913144764</v>
      </c>
      <c r="H43" s="33">
        <v>0.010006069304190917</v>
      </c>
      <c r="AS43" s="12"/>
    </row>
    <row r="44" spans="1:45" s="11" customFormat="1" ht="12.75">
      <c r="A44" s="28">
        <v>39295</v>
      </c>
      <c r="B44" s="29">
        <v>161.175221570846</v>
      </c>
      <c r="C44" s="33">
        <v>0.21191700759605334</v>
      </c>
      <c r="D44" s="33">
        <v>0</v>
      </c>
      <c r="E44" s="33">
        <v>0.7608083202181147</v>
      </c>
      <c r="F44" s="33">
        <v>0.01257670674292523</v>
      </c>
      <c r="G44" s="33">
        <v>0.00045650612940025963</v>
      </c>
      <c r="H44" s="33">
        <v>0.014241459313506412</v>
      </c>
      <c r="AS44" s="12"/>
    </row>
    <row r="45" spans="1:45" s="11" customFormat="1" ht="12.75">
      <c r="A45" s="28">
        <v>39326</v>
      </c>
      <c r="B45" s="29">
        <v>184.982847660014</v>
      </c>
      <c r="C45" s="33">
        <v>0.20319014083692633</v>
      </c>
      <c r="D45" s="33">
        <v>0</v>
      </c>
      <c r="E45" s="33">
        <v>0.771672894020788</v>
      </c>
      <c r="F45" s="33">
        <v>0.009891874742843929</v>
      </c>
      <c r="G45" s="33">
        <v>0.00026349030887513826</v>
      </c>
      <c r="H45" s="33">
        <v>0.014981600090566472</v>
      </c>
      <c r="AS45" s="12"/>
    </row>
    <row r="46" spans="1:45" s="11" customFormat="1" ht="12.75">
      <c r="A46" s="28">
        <v>39356</v>
      </c>
      <c r="B46" s="29">
        <v>218.105569642202</v>
      </c>
      <c r="C46" s="33">
        <v>0.2033753091384602</v>
      </c>
      <c r="D46" s="33">
        <v>0</v>
      </c>
      <c r="E46" s="33">
        <v>0.7754925992773248</v>
      </c>
      <c r="F46" s="33">
        <v>0.010104628582164122</v>
      </c>
      <c r="G46" s="33">
        <v>0.00032010049709413325</v>
      </c>
      <c r="H46" s="33">
        <v>0.010707362504956885</v>
      </c>
      <c r="AS46" s="12"/>
    </row>
    <row r="47" spans="1:45" s="11" customFormat="1" ht="12.75">
      <c r="A47" s="28">
        <v>39387</v>
      </c>
      <c r="B47" s="29">
        <v>204.332590079049</v>
      </c>
      <c r="C47" s="33">
        <v>0.19579385132393634</v>
      </c>
      <c r="D47" s="33">
        <v>0</v>
      </c>
      <c r="E47" s="33">
        <v>0.7824448564187438</v>
      </c>
      <c r="F47" s="33">
        <v>0.007636315625765279</v>
      </c>
      <c r="G47" s="33">
        <v>0.00047862684354367204</v>
      </c>
      <c r="H47" s="33">
        <v>0.01364634978801097</v>
      </c>
      <c r="AS47" s="12"/>
    </row>
    <row r="48" spans="1:45" s="11" customFormat="1" ht="12.75">
      <c r="A48" s="28">
        <v>39417</v>
      </c>
      <c r="B48" s="29">
        <v>214.110578269632</v>
      </c>
      <c r="C48" s="33">
        <v>0.19045561075541037</v>
      </c>
      <c r="D48" s="33">
        <v>0</v>
      </c>
      <c r="E48" s="33">
        <v>0.7739363795308551</v>
      </c>
      <c r="F48" s="33">
        <v>0.00827280554807909</v>
      </c>
      <c r="G48" s="33">
        <v>0.0004646035657825379</v>
      </c>
      <c r="H48" s="33">
        <v>0.02687060059987279</v>
      </c>
      <c r="AS48" s="12"/>
    </row>
    <row r="49" spans="1:45" s="11" customFormat="1" ht="12.75">
      <c r="A49" s="28">
        <v>39448</v>
      </c>
      <c r="B49" s="29">
        <v>197.258478892802</v>
      </c>
      <c r="C49" s="33">
        <v>0.21613391959956435</v>
      </c>
      <c r="D49" s="33">
        <v>0</v>
      </c>
      <c r="E49" s="33">
        <v>0.7557343497124415</v>
      </c>
      <c r="F49" s="33">
        <v>0.010332857754807263</v>
      </c>
      <c r="G49" s="33">
        <v>0.0007933062469574388</v>
      </c>
      <c r="H49" s="33">
        <v>0.01700556668622926</v>
      </c>
      <c r="AS49" s="12"/>
    </row>
    <row r="50" spans="1:45" s="11" customFormat="1" ht="12.75">
      <c r="A50" s="28">
        <v>39479</v>
      </c>
      <c r="B50" s="29">
        <v>224.47921598229667</v>
      </c>
      <c r="C50" s="33">
        <v>0.2263683786039618</v>
      </c>
      <c r="D50" s="33">
        <v>0</v>
      </c>
      <c r="E50" s="33">
        <v>0.745369111577033</v>
      </c>
      <c r="F50" s="33">
        <v>0.007383118333383618</v>
      </c>
      <c r="G50" s="33">
        <v>0.0011345356184426791</v>
      </c>
      <c r="H50" s="33">
        <v>0.019744855867179112</v>
      </c>
      <c r="AS50" s="12"/>
    </row>
    <row r="51" spans="1:45" s="11" customFormat="1" ht="12.75">
      <c r="A51" s="28">
        <v>39508</v>
      </c>
      <c r="B51" s="29">
        <v>213.320419822766</v>
      </c>
      <c r="C51" s="33">
        <v>0.2371446968923155</v>
      </c>
      <c r="D51" s="33">
        <v>0</v>
      </c>
      <c r="E51" s="33">
        <v>0.7254697872796062</v>
      </c>
      <c r="F51" s="33">
        <v>0.009673330278028755</v>
      </c>
      <c r="G51" s="33">
        <v>0.0019080537336622781</v>
      </c>
      <c r="H51" s="33">
        <v>0.02580413181638724</v>
      </c>
      <c r="AS51" s="12"/>
    </row>
    <row r="52" spans="1:45" s="11" customFormat="1" ht="12.75">
      <c r="A52" s="28">
        <v>39539</v>
      </c>
      <c r="B52" s="29">
        <v>224.694439300024</v>
      </c>
      <c r="C52" s="33">
        <v>0.231454145772691</v>
      </c>
      <c r="D52" s="33">
        <v>0</v>
      </c>
      <c r="E52" s="33">
        <v>0.739730684856828</v>
      </c>
      <c r="F52" s="33">
        <v>0.0109663366531621</v>
      </c>
      <c r="G52" s="33">
        <v>0.00169062768716367</v>
      </c>
      <c r="H52" s="33">
        <v>0.0161582050301557</v>
      </c>
      <c r="AS52" s="12"/>
    </row>
    <row r="53" spans="1:45" s="11" customFormat="1" ht="12.75">
      <c r="A53" s="28">
        <v>39569</v>
      </c>
      <c r="B53" s="29">
        <v>264.15452155456</v>
      </c>
      <c r="C53" s="33">
        <v>0.211221237387508</v>
      </c>
      <c r="D53" s="33">
        <v>0</v>
      </c>
      <c r="E53" s="33">
        <v>0.760473628750253</v>
      </c>
      <c r="F53" s="33">
        <v>0.0108768498252805</v>
      </c>
      <c r="G53" s="33">
        <v>0.00144167308813233</v>
      </c>
      <c r="H53" s="33">
        <v>0.0159866109488266</v>
      </c>
      <c r="AS53" s="12"/>
    </row>
    <row r="54" spans="1:45" s="11" customFormat="1" ht="12.75">
      <c r="A54" s="28">
        <v>39600</v>
      </c>
      <c r="B54" s="29">
        <v>260.27540218858</v>
      </c>
      <c r="C54" s="33">
        <v>0.226004875408715</v>
      </c>
      <c r="D54" s="33">
        <v>0</v>
      </c>
      <c r="E54" s="33">
        <v>0.746185113398365</v>
      </c>
      <c r="F54" s="33">
        <v>0.00964313898239152</v>
      </c>
      <c r="G54" s="33">
        <v>0.0015552772391914</v>
      </c>
      <c r="H54" s="33">
        <v>0.0166115949713366</v>
      </c>
      <c r="AS54" s="12"/>
    </row>
    <row r="55" spans="1:45" s="11" customFormat="1" ht="12.75">
      <c r="A55" s="28">
        <v>39630</v>
      </c>
      <c r="B55" s="29">
        <v>258.337456919404</v>
      </c>
      <c r="C55" s="33">
        <v>0.285004049124832</v>
      </c>
      <c r="D55" s="33">
        <v>0</v>
      </c>
      <c r="E55" s="33">
        <v>0.6855510786386346</v>
      </c>
      <c r="F55" s="33">
        <v>0.012992774658935632</v>
      </c>
      <c r="G55" s="33">
        <v>0.0012706598168417292</v>
      </c>
      <c r="H55" s="33">
        <v>0.015181437760756058</v>
      </c>
      <c r="AS55" s="12"/>
    </row>
    <row r="56" spans="1:45" s="11" customFormat="1" ht="12.75">
      <c r="A56" s="28">
        <v>39661</v>
      </c>
      <c r="B56" s="29">
        <v>232.279834010646</v>
      </c>
      <c r="C56" s="33">
        <v>0.297709172156244</v>
      </c>
      <c r="D56" s="33">
        <v>0</v>
      </c>
      <c r="E56" s="33">
        <v>0.672741523819343</v>
      </c>
      <c r="F56" s="33">
        <v>0.0120263151351734</v>
      </c>
      <c r="G56" s="33">
        <v>0.00140797487008303</v>
      </c>
      <c r="H56" s="33">
        <v>0.0161150140191563</v>
      </c>
      <c r="AS56" s="12"/>
    </row>
    <row r="57" spans="1:45" s="11" customFormat="1" ht="12.75">
      <c r="A57" s="28">
        <v>39692</v>
      </c>
      <c r="B57" s="29">
        <v>172.213381191036</v>
      </c>
      <c r="C57" s="33">
        <v>0.319469936983875</v>
      </c>
      <c r="D57" s="33">
        <v>0</v>
      </c>
      <c r="E57" s="33">
        <v>0.637808273795956</v>
      </c>
      <c r="F57" s="33">
        <v>0.0208390105205208</v>
      </c>
      <c r="G57" s="33">
        <v>0.0020378704026732</v>
      </c>
      <c r="H57" s="33">
        <v>0.0198449082969748</v>
      </c>
      <c r="AS57" s="12"/>
    </row>
    <row r="58" spans="1:45" s="11" customFormat="1" ht="12.75">
      <c r="A58" s="28">
        <v>39722</v>
      </c>
      <c r="B58" s="29">
        <v>124.0899938699</v>
      </c>
      <c r="C58" s="33">
        <v>0.3415800734419855</v>
      </c>
      <c r="D58" s="33">
        <v>0</v>
      </c>
      <c r="E58" s="33">
        <v>0.6129732763026133</v>
      </c>
      <c r="F58" s="33">
        <v>0.027602683287841826</v>
      </c>
      <c r="G58" s="33">
        <v>0.0032376393225743753</v>
      </c>
      <c r="H58" s="33">
        <v>0.014606327644985083</v>
      </c>
      <c r="AS58" s="12"/>
    </row>
    <row r="59" spans="1:45" s="11" customFormat="1" ht="12.75">
      <c r="A59" s="28">
        <v>39753</v>
      </c>
      <c r="B59" s="29">
        <v>115.67223421585</v>
      </c>
      <c r="C59" s="33">
        <v>0.3377964049288415</v>
      </c>
      <c r="D59" s="33">
        <v>0</v>
      </c>
      <c r="E59" s="33">
        <v>0.610636989348411</v>
      </c>
      <c r="F59" s="33">
        <v>0.027326433083832213</v>
      </c>
      <c r="G59" s="33">
        <v>0.003251448999724497</v>
      </c>
      <c r="H59" s="33">
        <v>0.020988723639190895</v>
      </c>
      <c r="AS59" s="12"/>
    </row>
    <row r="60" spans="1:45" s="11" customFormat="1" ht="12.75">
      <c r="A60" s="28">
        <v>39783</v>
      </c>
      <c r="B60" s="29">
        <v>123.0887631638853</v>
      </c>
      <c r="C60" s="33">
        <v>0.35469929101118625</v>
      </c>
      <c r="D60" s="33">
        <v>0</v>
      </c>
      <c r="E60" s="33">
        <v>0.5796635320580773</v>
      </c>
      <c r="F60" s="33">
        <v>0.01990508039907979</v>
      </c>
      <c r="G60" s="33">
        <v>0.0031558052964958077</v>
      </c>
      <c r="H60" s="33">
        <v>0.04257629123516097</v>
      </c>
      <c r="AS60" s="12"/>
    </row>
    <row r="61" spans="1:45" s="11" customFormat="1" ht="12.75">
      <c r="A61" s="28">
        <v>39814</v>
      </c>
      <c r="B61" s="29">
        <v>134.58664487781712</v>
      </c>
      <c r="C61" s="33">
        <v>0.3142451663727025</v>
      </c>
      <c r="D61" s="33">
        <v>0</v>
      </c>
      <c r="E61" s="33">
        <v>0.6135713686112783</v>
      </c>
      <c r="F61" s="33">
        <v>0.02397124634567378</v>
      </c>
      <c r="G61" s="33">
        <v>0.0028612046869436274</v>
      </c>
      <c r="H61" s="33">
        <v>0.045351013983401696</v>
      </c>
      <c r="AS61" s="12"/>
    </row>
    <row r="62" spans="1:45" s="11" customFormat="1" ht="12.75">
      <c r="A62" s="28">
        <v>39845</v>
      </c>
      <c r="B62" s="29">
        <v>122.06831282542886</v>
      </c>
      <c r="C62" s="33">
        <v>0.34432715331300073</v>
      </c>
      <c r="D62" s="33">
        <v>0</v>
      </c>
      <c r="E62" s="33">
        <v>0.5788973675254142</v>
      </c>
      <c r="F62" s="33">
        <v>0.03510364026299901</v>
      </c>
      <c r="G62" s="33">
        <v>0.0031563106955520676</v>
      </c>
      <c r="H62" s="33">
        <v>0.03851552820303405</v>
      </c>
      <c r="AS62" s="12"/>
    </row>
    <row r="63" spans="1:45" s="11" customFormat="1" ht="12.75">
      <c r="A63" s="28">
        <v>39873</v>
      </c>
      <c r="B63" s="29">
        <v>130.89726714106774</v>
      </c>
      <c r="C63" s="33">
        <v>0.3254103094692445</v>
      </c>
      <c r="D63" s="33">
        <v>0</v>
      </c>
      <c r="E63" s="33">
        <v>0.6096716741659421</v>
      </c>
      <c r="F63" s="33">
        <v>0.030419043413448685</v>
      </c>
      <c r="G63" s="33">
        <v>0.0031469156929667605</v>
      </c>
      <c r="H63" s="33">
        <v>0.03135205725839795</v>
      </c>
      <c r="AS63" s="12"/>
    </row>
    <row r="64" spans="1:45" s="11" customFormat="1" ht="12.75">
      <c r="A64" s="28">
        <v>39904</v>
      </c>
      <c r="B64" s="29">
        <v>152.290294001285</v>
      </c>
      <c r="C64" s="33">
        <v>0.30077535564598706</v>
      </c>
      <c r="D64" s="33">
        <v>0</v>
      </c>
      <c r="E64" s="33">
        <v>0.6490028513948612</v>
      </c>
      <c r="F64" s="33">
        <v>0.015196496467007286</v>
      </c>
      <c r="G64" s="33">
        <v>0.002787736160811988</v>
      </c>
      <c r="H64" s="33">
        <v>0.032237560331332356</v>
      </c>
      <c r="AS64" s="12"/>
    </row>
    <row r="65" spans="1:45" s="11" customFormat="1" ht="12.75">
      <c r="A65" s="28">
        <v>39934</v>
      </c>
      <c r="B65" s="29">
        <v>181.954712853016</v>
      </c>
      <c r="C65" s="33">
        <v>0.28880087060712717</v>
      </c>
      <c r="D65" s="33">
        <v>0</v>
      </c>
      <c r="E65" s="33">
        <v>0.668742723489293</v>
      </c>
      <c r="F65" s="33">
        <v>0.01378382737900445</v>
      </c>
      <c r="G65" s="33">
        <v>0.0025729695666100116</v>
      </c>
      <c r="H65" s="33">
        <v>0.026099608957965193</v>
      </c>
      <c r="AS65" s="12"/>
    </row>
    <row r="66" spans="1:45" s="11" customFormat="1" ht="12.75">
      <c r="A66" s="28">
        <v>39965</v>
      </c>
      <c r="B66" s="29">
        <v>185.989126585878</v>
      </c>
      <c r="C66" s="33">
        <v>0.30429689855545083</v>
      </c>
      <c r="D66" s="33">
        <v>0</v>
      </c>
      <c r="E66" s="33">
        <v>0.6639094664933012</v>
      </c>
      <c r="F66" s="33">
        <v>0.013282594661867089</v>
      </c>
      <c r="G66" s="33">
        <v>0.0026999831242421083</v>
      </c>
      <c r="H66" s="33">
        <v>0.01581105716513878</v>
      </c>
      <c r="AS66" s="12"/>
    </row>
    <row r="67" spans="1:45" s="11" customFormat="1" ht="12.75">
      <c r="A67" s="28">
        <v>39995</v>
      </c>
      <c r="B67" s="29">
        <v>207.077873672968</v>
      </c>
      <c r="C67" s="33">
        <v>0.2812093034140191</v>
      </c>
      <c r="D67" s="33">
        <v>0</v>
      </c>
      <c r="E67" s="33">
        <v>0.6921795288369235</v>
      </c>
      <c r="F67" s="33">
        <v>0.010847756446679948</v>
      </c>
      <c r="G67" s="33">
        <v>0.002545646083033537</v>
      </c>
      <c r="H67" s="33">
        <v>0.013217765219343845</v>
      </c>
      <c r="AS67" s="12"/>
    </row>
    <row r="68" spans="1:45" s="11" customFormat="1" ht="12.75">
      <c r="A68" s="28">
        <v>40026</v>
      </c>
      <c r="B68" s="29">
        <v>212.031633922177</v>
      </c>
      <c r="C68" s="33">
        <v>0.29203906548819597</v>
      </c>
      <c r="D68" s="33">
        <v>0</v>
      </c>
      <c r="E68" s="33">
        <v>0.6799182160255371</v>
      </c>
      <c r="F68" s="33">
        <v>0.011680854278786651</v>
      </c>
      <c r="G68" s="33">
        <v>0.002404698368115619</v>
      </c>
      <c r="H68" s="33">
        <v>0.013957165839364816</v>
      </c>
      <c r="AS68" s="12"/>
    </row>
    <row r="69" spans="1:45" s="11" customFormat="1" ht="12.75">
      <c r="A69" s="28">
        <v>40057</v>
      </c>
      <c r="B69" s="29">
        <v>253.559426574433</v>
      </c>
      <c r="C69" s="33">
        <v>0.2931418345336163</v>
      </c>
      <c r="D69" s="33">
        <v>0</v>
      </c>
      <c r="E69" s="33">
        <v>0.6820792886729546</v>
      </c>
      <c r="F69" s="33">
        <v>0.010717913161049846</v>
      </c>
      <c r="G69" s="33">
        <v>0.0021561155599306063</v>
      </c>
      <c r="H69" s="33">
        <v>0.011904848072448576</v>
      </c>
      <c r="AS69" s="12"/>
    </row>
    <row r="70" spans="1:45" s="11" customFormat="1" ht="12.75">
      <c r="A70" s="28">
        <v>40087</v>
      </c>
      <c r="B70" s="29">
        <v>267.405168176605</v>
      </c>
      <c r="C70" s="33">
        <v>0.3133248136584907</v>
      </c>
      <c r="D70" s="33">
        <v>0</v>
      </c>
      <c r="E70" s="33">
        <v>0.6595973838691733</v>
      </c>
      <c r="F70" s="33">
        <v>0.012985017007014134</v>
      </c>
      <c r="G70" s="33">
        <v>0.0019833745729561114</v>
      </c>
      <c r="H70" s="33">
        <v>0.01210941089236567</v>
      </c>
      <c r="AS70" s="12"/>
    </row>
    <row r="71" spans="1:45" s="11" customFormat="1" ht="12.75">
      <c r="A71" s="28">
        <v>40118</v>
      </c>
      <c r="B71" s="29">
        <v>294.198118435875</v>
      </c>
      <c r="C71" s="33">
        <v>0.27623869025922054</v>
      </c>
      <c r="D71" s="33">
        <v>0</v>
      </c>
      <c r="E71" s="33">
        <v>0.6648590709553415</v>
      </c>
      <c r="F71" s="33">
        <v>0.012442962915933333</v>
      </c>
      <c r="G71" s="33">
        <v>0.0018972744701109619</v>
      </c>
      <c r="H71" s="33">
        <v>0.0445620013993936</v>
      </c>
      <c r="AS71" s="12"/>
    </row>
    <row r="72" spans="1:45" s="11" customFormat="1" ht="12.75">
      <c r="A72" s="28">
        <v>40148</v>
      </c>
      <c r="B72" s="29">
        <v>304.373201272111</v>
      </c>
      <c r="C72" s="33">
        <v>0.27717735541583094</v>
      </c>
      <c r="D72" s="33">
        <v>0</v>
      </c>
      <c r="E72" s="33">
        <v>0.6740367021217003</v>
      </c>
      <c r="F72" s="33">
        <v>0.011212060386603903</v>
      </c>
      <c r="G72" s="33">
        <v>0.0015071838004836388</v>
      </c>
      <c r="H72" s="33">
        <v>0.036066698275381046</v>
      </c>
      <c r="AS72" s="12"/>
    </row>
    <row r="73" spans="1:45" s="11" customFormat="1" ht="12.75">
      <c r="A73" s="28">
        <v>40179</v>
      </c>
      <c r="B73" s="29">
        <v>280.476844411671</v>
      </c>
      <c r="C73" s="33">
        <v>0.28882810551339694</v>
      </c>
      <c r="D73" s="33">
        <v>0</v>
      </c>
      <c r="E73" s="33">
        <v>0.6649283931869489</v>
      </c>
      <c r="F73" s="33">
        <v>0.00917960396746844</v>
      </c>
      <c r="G73" s="33">
        <v>0.0015713987102666796</v>
      </c>
      <c r="H73" s="33">
        <v>0.035492498621919215</v>
      </c>
      <c r="AS73" s="12"/>
    </row>
    <row r="74" spans="1:45" s="11" customFormat="1" ht="12.75">
      <c r="A74" s="28">
        <v>40210</v>
      </c>
      <c r="B74" s="29">
        <v>290.967160511872</v>
      </c>
      <c r="C74" s="33">
        <v>0.29794027648596205</v>
      </c>
      <c r="D74" s="33">
        <v>0</v>
      </c>
      <c r="E74" s="33">
        <v>0.6608586086952872</v>
      </c>
      <c r="F74" s="33">
        <v>0.00832623226197141</v>
      </c>
      <c r="G74" s="33">
        <v>0.003455522835697965</v>
      </c>
      <c r="H74" s="33">
        <v>0.029419359721081347</v>
      </c>
      <c r="AS74" s="12"/>
    </row>
    <row r="75" spans="1:45" s="11" customFormat="1" ht="12.75">
      <c r="A75" s="28">
        <v>40238</v>
      </c>
      <c r="B75" s="29">
        <v>305.186121699607</v>
      </c>
      <c r="C75" s="33">
        <v>0.29636529595563577</v>
      </c>
      <c r="D75" s="33">
        <v>0</v>
      </c>
      <c r="E75" s="33">
        <v>0.6813282968226735</v>
      </c>
      <c r="F75" s="33">
        <v>0.010320090360173636</v>
      </c>
      <c r="G75" s="33">
        <v>0.001512113210591173</v>
      </c>
      <c r="H75" s="33">
        <v>0.010474203650925808</v>
      </c>
      <c r="AS75" s="12"/>
    </row>
    <row r="76" spans="1:45" s="11" customFormat="1" ht="12.75">
      <c r="A76" s="28">
        <v>40269</v>
      </c>
      <c r="B76" s="29">
        <v>312.645845611926</v>
      </c>
      <c r="C76" s="33">
        <v>0.3057720909927789</v>
      </c>
      <c r="D76" s="33">
        <v>0</v>
      </c>
      <c r="E76" s="33">
        <v>0.6733343004857512</v>
      </c>
      <c r="F76" s="33">
        <v>0.012482027042980381</v>
      </c>
      <c r="G76" s="33">
        <v>0.0014917990750821417</v>
      </c>
      <c r="H76" s="33">
        <v>0.006919782403407373</v>
      </c>
      <c r="AS76" s="12"/>
    </row>
    <row r="77" spans="1:45" s="11" customFormat="1" ht="12.75">
      <c r="A77" s="28">
        <v>40299</v>
      </c>
      <c r="B77" s="29">
        <v>289.474591896846</v>
      </c>
      <c r="C77" s="33">
        <v>0.3305460271829298</v>
      </c>
      <c r="D77" s="33">
        <v>0</v>
      </c>
      <c r="E77" s="33">
        <v>0.657597502197282</v>
      </c>
      <c r="F77" s="33">
        <v>0.006301668089511649</v>
      </c>
      <c r="G77" s="33">
        <v>0.0015450604866860242</v>
      </c>
      <c r="H77" s="33">
        <v>0.004009742043590445</v>
      </c>
      <c r="AS77" s="12"/>
    </row>
    <row r="78" spans="1:45" s="11" customFormat="1" ht="12.75">
      <c r="A78" s="28">
        <v>40330</v>
      </c>
      <c r="B78" s="29">
        <v>295.657576443519</v>
      </c>
      <c r="C78" s="33">
        <v>0.33191684623225426</v>
      </c>
      <c r="D78" s="33">
        <v>0</v>
      </c>
      <c r="E78" s="33">
        <v>0.6486100227772055</v>
      </c>
      <c r="F78" s="33">
        <v>0.012765514484003268</v>
      </c>
      <c r="G78" s="33">
        <v>0.0015743267473817193</v>
      </c>
      <c r="H78" s="33">
        <v>0.005133289759155507</v>
      </c>
      <c r="AS78" s="12"/>
    </row>
    <row r="79" spans="1:45" s="11" customFormat="1" ht="12.75">
      <c r="A79" s="28">
        <v>40360</v>
      </c>
      <c r="B79" s="29">
        <v>327.512978437143</v>
      </c>
      <c r="C79" s="33">
        <v>0.3344648369395685</v>
      </c>
      <c r="D79" s="33">
        <v>0</v>
      </c>
      <c r="E79" s="33">
        <v>0.6476718638447028</v>
      </c>
      <c r="F79" s="33">
        <v>0.011295966037122674</v>
      </c>
      <c r="G79" s="33">
        <v>0.001494026690983428</v>
      </c>
      <c r="H79" s="33">
        <v>0.005073306487622467</v>
      </c>
      <c r="AS79" s="12"/>
    </row>
    <row r="80" spans="1:45" s="11" customFormat="1" ht="12.75">
      <c r="A80" s="28">
        <v>40391</v>
      </c>
      <c r="B80" s="29">
        <v>332.667656655467</v>
      </c>
      <c r="C80" s="33">
        <v>0.3323528261313445</v>
      </c>
      <c r="D80" s="33">
        <v>0</v>
      </c>
      <c r="E80" s="33">
        <v>0.6457199666381973</v>
      </c>
      <c r="F80" s="33">
        <v>0.01017119481306826</v>
      </c>
      <c r="G80" s="33">
        <v>0.001801034066502751</v>
      </c>
      <c r="H80" s="33">
        <v>0.009954978350887225</v>
      </c>
      <c r="AS80" s="12"/>
    </row>
    <row r="81" spans="1:45" s="11" customFormat="1" ht="12.75">
      <c r="A81" s="28">
        <v>40422</v>
      </c>
      <c r="B81" s="29">
        <v>365.48270637351</v>
      </c>
      <c r="C81" s="33">
        <v>0.32480265371649153</v>
      </c>
      <c r="D81" s="33">
        <v>0</v>
      </c>
      <c r="E81" s="33">
        <v>0.6546193672214944</v>
      </c>
      <c r="F81" s="33">
        <v>0.00997828027942586</v>
      </c>
      <c r="G81" s="33">
        <v>0.0015244185993706911</v>
      </c>
      <c r="H81" s="33">
        <v>0.00907528018321735</v>
      </c>
      <c r="AS81" s="12"/>
    </row>
    <row r="82" spans="1:45" s="11" customFormat="1" ht="12.75">
      <c r="A82" s="28">
        <v>40452</v>
      </c>
      <c r="B82" s="29">
        <v>373.961956742682</v>
      </c>
      <c r="C82" s="33">
        <v>0.31267753991988595</v>
      </c>
      <c r="D82" s="33">
        <v>0</v>
      </c>
      <c r="E82" s="33">
        <v>0.6691203918547753</v>
      </c>
      <c r="F82" s="33">
        <v>0.009943000431825041</v>
      </c>
      <c r="G82" s="33">
        <v>0.001454651436674205</v>
      </c>
      <c r="H82" s="33">
        <v>0.0068044163568395655</v>
      </c>
      <c r="AS82" s="12"/>
    </row>
    <row r="83" spans="1:45" s="11" customFormat="1" ht="12.75">
      <c r="A83" s="28">
        <v>40483</v>
      </c>
      <c r="B83" s="29">
        <v>364.610426889459</v>
      </c>
      <c r="C83" s="33">
        <v>0.31167503821174886</v>
      </c>
      <c r="D83" s="33">
        <v>0</v>
      </c>
      <c r="E83" s="33">
        <v>0.6656423849827577</v>
      </c>
      <c r="F83" s="33">
        <v>0.01195744472502317</v>
      </c>
      <c r="G83" s="33">
        <v>0.001483351166757888</v>
      </c>
      <c r="H83" s="33">
        <v>0.009241780913712565</v>
      </c>
      <c r="AS83" s="12"/>
    </row>
    <row r="84" spans="1:45" s="11" customFormat="1" ht="12.75">
      <c r="A84" s="28">
        <v>40513</v>
      </c>
      <c r="B84" s="29">
        <v>380.707266512424</v>
      </c>
      <c r="C84" s="33">
        <v>0.31331852412853983</v>
      </c>
      <c r="D84" s="33">
        <v>0</v>
      </c>
      <c r="E84" s="33">
        <v>0.6676888714288285</v>
      </c>
      <c r="F84" s="33">
        <v>0.009931640087018086</v>
      </c>
      <c r="G84" s="33">
        <v>0.0014891787617368824</v>
      </c>
      <c r="H84" s="33">
        <v>0.007571785593876574</v>
      </c>
      <c r="AS84" s="12"/>
    </row>
    <row r="85" spans="1:45" s="11" customFormat="1" ht="12.75">
      <c r="A85" s="28">
        <v>40544</v>
      </c>
      <c r="B85" s="29">
        <f>SUM('Posição da carteira - mensal'!B13,'Posição da carteira - mensal'!C13,'Posição da carteira - mensal'!E13,'Posição da carteira - mensal'!F13,'Posição da carteira - mensal'!G13,'Posição da carteira - mensal'!H13,'Posição da carteira - mensal'!I13,'Posição da carteira - mensal'!J13,'Posição da carteira - mensal'!K13,'Posição da carteira - mensal'!L13,'Posição da carteira - mensal'!M13,'Posição da carteira - mensal'!N13,'Posição da carteira - mensal'!O13,'Posição da carteira - mensal'!P13,'Posição da carteira - mensal'!Q13,'Posição da carteira - mensal'!S13,'Posição da carteira - mensal'!T13,'Posição da carteira - mensal'!AB13,'Posição da carteira - mensal'!AC13,'Posição da carteira - mensal'!AA13)</f>
        <v>359.36968089996424</v>
      </c>
      <c r="C85" s="33">
        <f>SUM('Posição da carteira - mensal'!F13,'Posição da carteira - mensal'!P13,'Posição da carteira - mensal'!G13,'Posição da carteira - mensal'!H13,'Posição da carteira - mensal'!M13,'Posição da carteira - mensal'!O13,'Posição da carteira - mensal'!AC13)/B85</f>
        <v>0.30906539100251124</v>
      </c>
      <c r="D85" s="33">
        <v>0</v>
      </c>
      <c r="E85" s="33">
        <f>SUM('Posição da carteira - mensal'!B13,'Posição da carteira - mensal'!C13)/B85</f>
        <v>0.6702072253899315</v>
      </c>
      <c r="F85" s="33">
        <f>SUM('Posição da carteira - mensal'!Q13,'Posição da carteira - mensal'!S13,'Posição da carteira - mensal'!T13)/B85</f>
        <v>0.009778267139629995</v>
      </c>
      <c r="G85" s="33">
        <f>SUM('Posição da carteira - mensal'!L13,'Posição da carteira - mensal'!N13)/B85</f>
        <v>0.0017493567578518306</v>
      </c>
      <c r="H85" s="33">
        <f>SUM('Posição da carteira - mensal'!E13,'Posição da carteira - mensal'!I13,'Posição da carteira - mensal'!J13,'Posição da carteira - mensal'!K13,'Posição da carteira - mensal'!AA13,'Posição da carteira - mensal'!AB13)/B85</f>
        <v>0.009199759710075224</v>
      </c>
      <c r="AS85" s="12"/>
    </row>
    <row r="86" spans="1:45" s="11" customFormat="1" ht="12.75">
      <c r="A86" s="28">
        <v>40575</v>
      </c>
      <c r="B86" s="29">
        <f>SUM('Posição da carteira - mensal'!B14,'Posição da carteira - mensal'!C14,'Posição da carteira - mensal'!E14,'Posição da carteira - mensal'!F14,'Posição da carteira - mensal'!G14,'Posição da carteira - mensal'!H14,'Posição da carteira - mensal'!I14,'Posição da carteira - mensal'!J14,'Posição da carteira - mensal'!K14,'Posição da carteira - mensal'!L14,'Posição da carteira - mensal'!M14,'Posição da carteira - mensal'!N14,'Posição da carteira - mensal'!O14,'Posição da carteira - mensal'!P14,'Posição da carteira - mensal'!Q14,'Posição da carteira - mensal'!S14,'Posição da carteira - mensal'!T14,'Posição da carteira - mensal'!AB14,'Posição da carteira - mensal'!AC14,'Posição da carteira - mensal'!AA14)</f>
        <v>394.43066393811694</v>
      </c>
      <c r="C86" s="33">
        <f>SUM('Posição da carteira - mensal'!F14,'Posição da carteira - mensal'!P14,'Posição da carteira - mensal'!G14,'Posição da carteira - mensal'!H14,'Posição da carteira - mensal'!M14,'Posição da carteira - mensal'!O14,'Posição da carteira - mensal'!AC14)/B86</f>
        <v>0.28665208788103047</v>
      </c>
      <c r="D86" s="33">
        <v>0</v>
      </c>
      <c r="E86" s="33">
        <f>SUM('Posição da carteira - mensal'!B14,'Posição da carteira - mensal'!C14)/B86</f>
        <v>0.6864597477895048</v>
      </c>
      <c r="F86" s="33">
        <f>SUM('Posição da carteira - mensal'!Q14,'Posição da carteira - mensal'!S14,'Posição da carteira - mensal'!T14)/B86</f>
        <v>0.009990079758239697</v>
      </c>
      <c r="G86" s="33">
        <f>SUM('Posição da carteira - mensal'!L14,'Posição da carteira - mensal'!N14)/B86</f>
        <v>0.0018230768738003993</v>
      </c>
      <c r="H86" s="33">
        <f>SUM('Posição da carteira - mensal'!E14,'Posição da carteira - mensal'!I14,'Posição da carteira - mensal'!J14,'Posição da carteira - mensal'!K14,'Posição da carteira - mensal'!AA14,'Posição da carteira - mensal'!AB14)/B86</f>
        <v>0.015075007697424814</v>
      </c>
      <c r="AS86" s="12"/>
    </row>
    <row r="87" spans="1:45" s="11" customFormat="1" ht="12.75">
      <c r="A87" s="28">
        <v>40603</v>
      </c>
      <c r="B87" s="29">
        <f>SUM('Posição da carteira - mensal'!B15,'Posição da carteira - mensal'!C15,'Posição da carteira - mensal'!E15,'Posição da carteira - mensal'!F15,'Posição da carteira - mensal'!G15,'Posição da carteira - mensal'!H15,'Posição da carteira - mensal'!I15,'Posição da carteira - mensal'!J15,'Posição da carteira - mensal'!K15,'Posição da carteira - mensal'!L15,'Posição da carteira - mensal'!M15,'Posição da carteira - mensal'!N15,'Posição da carteira - mensal'!O15,'Posição da carteira - mensal'!P15,'Posição da carteira - mensal'!Q15,'Posição da carteira - mensal'!S15,'Posição da carteira - mensal'!T15,'Posição da carteira - mensal'!AB15,'Posição da carteira - mensal'!AC15,'Posição da carteira - mensal'!AA15)</f>
        <v>413.28405206115315</v>
      </c>
      <c r="C87" s="33">
        <f>SUM('Posição da carteira - mensal'!F15,'Posição da carteira - mensal'!P15,'Posição da carteira - mensal'!G15,'Posição da carteira - mensal'!H15,'Posição da carteira - mensal'!M15,'Posição da carteira - mensal'!O15,'Posição da carteira - mensal'!AC15)/B87</f>
        <v>0.2856092913604512</v>
      </c>
      <c r="D87" s="33">
        <v>0</v>
      </c>
      <c r="E87" s="33">
        <f>SUM('Posição da carteira - mensal'!B15,'Posição da carteira - mensal'!C15)/B87</f>
        <v>0.685835671647143</v>
      </c>
      <c r="F87" s="33">
        <f>SUM('Posição da carteira - mensal'!Q15,'Posição da carteira - mensal'!S15,'Posição da carteira - mensal'!T15)/B87</f>
        <v>0.012200631158588536</v>
      </c>
      <c r="G87" s="33">
        <f>SUM('Posição da carteira - mensal'!L15,'Posição da carteira - mensal'!N15)/B87</f>
        <v>0.0018233400411009296</v>
      </c>
      <c r="H87" s="33">
        <f>SUM('Posição da carteira - mensal'!E15,'Posição da carteira - mensal'!I15,'Posição da carteira - mensal'!J15,'Posição da carteira - mensal'!K15,'Posição da carteira - mensal'!AA15,'Posição da carteira - mensal'!AB15)/B87</f>
        <v>0.014531065792716324</v>
      </c>
      <c r="AS87" s="12"/>
    </row>
    <row r="88" spans="1:45" s="11" customFormat="1" ht="12.75">
      <c r="A88" s="28">
        <v>40634</v>
      </c>
      <c r="B88" s="29">
        <f>SUM('Posição da carteira - mensal'!B16,'Posição da carteira - mensal'!C16,'Posição da carteira - mensal'!E16,'Posição da carteira - mensal'!F16,'Posição da carteira - mensal'!G16,'Posição da carteira - mensal'!H16,'Posição da carteira - mensal'!I16,'Posição da carteira - mensal'!J16,'Posição da carteira - mensal'!K16,'Posição da carteira - mensal'!L16,'Posição da carteira - mensal'!M16,'Posição da carteira - mensal'!N16,'Posição da carteira - mensal'!O16,'Posição da carteira - mensal'!P16,'Posição da carteira - mensal'!Q16,'Posição da carteira - mensal'!S16,'Posição da carteira - mensal'!T16,'Posição da carteira - mensal'!AB16,'Posição da carteira - mensal'!AC16,'Posição da carteira - mensal'!AA16)</f>
        <v>422.0117010398526</v>
      </c>
      <c r="C88" s="33">
        <f>SUM('Posição da carteira - mensal'!F16,'Posição da carteira - mensal'!P16,'Posição da carteira - mensal'!G16,'Posição da carteira - mensal'!H16,'Posição da carteira - mensal'!M16,'Posição da carteira - mensal'!O16,'Posição da carteira - mensal'!AC16)/B88</f>
        <v>0.2962200008978823</v>
      </c>
      <c r="D88" s="33">
        <v>0</v>
      </c>
      <c r="E88" s="33">
        <f>SUM('Posição da carteira - mensal'!B16,'Posição da carteira - mensal'!C16)/B88</f>
        <v>0.6744034153897892</v>
      </c>
      <c r="F88" s="33">
        <f>SUM('Posição da carteira - mensal'!Q16,'Posição da carteira - mensal'!S16,'Posição da carteira - mensal'!T16)/B88</f>
        <v>0.012003635092069129</v>
      </c>
      <c r="G88" s="33">
        <f>SUM('Posição da carteira - mensal'!L16,'Posição da carteira - mensal'!N16)/B88</f>
        <v>0.0018068304849213949</v>
      </c>
      <c r="H88" s="33">
        <f>SUM('Posição da carteira - mensal'!E16,'Posição da carteira - mensal'!I16,'Posição da carteira - mensal'!J16,'Posição da carteira - mensal'!K16,'Posição da carteira - mensal'!AA16,'Posição da carteira - mensal'!AB16)/B88</f>
        <v>0.015566118135337807</v>
      </c>
      <c r="AS88" s="12"/>
    </row>
    <row r="89" spans="1:45" s="11" customFormat="1" ht="12.75">
      <c r="A89" s="28">
        <v>40664</v>
      </c>
      <c r="B89" s="29">
        <f>SUM('Posição da carteira - mensal'!B17,'Posição da carteira - mensal'!C17,'Posição da carteira - mensal'!E17,'Posição da carteira - mensal'!F17,'Posição da carteira - mensal'!G17,'Posição da carteira - mensal'!H17,'Posição da carteira - mensal'!I17,'Posição da carteira - mensal'!J17,'Posição da carteira - mensal'!K17,'Posição da carteira - mensal'!L17,'Posição da carteira - mensal'!M17,'Posição da carteira - mensal'!N17,'Posição da carteira - mensal'!O17,'Posição da carteira - mensal'!P17,'Posição da carteira - mensal'!Q17,'Posição da carteira - mensal'!S17,'Posição da carteira - mensal'!T17,'Posição da carteira - mensal'!AB17,'Posição da carteira - mensal'!AC17,'Posição da carteira - mensal'!AA17)</f>
        <v>435.99044569403117</v>
      </c>
      <c r="C89" s="33">
        <f>SUM('Posição da carteira - mensal'!F17,'Posição da carteira - mensal'!P17,'Posição da carteira - mensal'!G17,'Posição da carteira - mensal'!H17,'Posição da carteira - mensal'!M17,'Posição da carteira - mensal'!O17,'Posição da carteira - mensal'!AC17)/B89</f>
        <v>0.31032824412396787</v>
      </c>
      <c r="D89" s="33">
        <v>0</v>
      </c>
      <c r="E89" s="33">
        <f>SUM('Posição da carteira - mensal'!B17,'Posição da carteira - mensal'!C17)/B89</f>
        <v>0.660695052608128</v>
      </c>
      <c r="F89" s="33">
        <f>SUM('Posição da carteira - mensal'!Q17,'Posição da carteira - mensal'!S17,'Posição da carteira - mensal'!T17)/B89</f>
        <v>0.011961861595122697</v>
      </c>
      <c r="G89" s="33">
        <f>SUM('Posição da carteira - mensal'!L17,'Posição da carteira - mensal'!N17)/B89</f>
        <v>0.001573526336791839</v>
      </c>
      <c r="H89" s="33">
        <f>SUM('Posição da carteira - mensal'!E17,'Posição da carteira - mensal'!I17,'Posição da carteira - mensal'!J17,'Posição da carteira - mensal'!K17,'Posição da carteira - mensal'!AA17,'Posição da carteira - mensal'!AB17)/B89</f>
        <v>0.015441315335989674</v>
      </c>
      <c r="AS89" s="12"/>
    </row>
    <row r="90" spans="1:45" s="11" customFormat="1" ht="12.75">
      <c r="A90" s="28">
        <v>40695</v>
      </c>
      <c r="B90" s="29">
        <f>SUM('Posição da carteira - mensal'!B18,'Posição da carteira - mensal'!C18,'Posição da carteira - mensal'!E18,'Posição da carteira - mensal'!F18,'Posição da carteira - mensal'!G18,'Posição da carteira - mensal'!H18,'Posição da carteira - mensal'!I18,'Posição da carteira - mensal'!J18,'Posição da carteira - mensal'!K18,'Posição da carteira - mensal'!L18,'Posição da carteira - mensal'!M18,'Posição da carteira - mensal'!N18,'Posição da carteira - mensal'!O18,'Posição da carteira - mensal'!P18,'Posição da carteira - mensal'!Q18,'Posição da carteira - mensal'!S18,'Posição da carteira - mensal'!T18,'Posição da carteira - mensal'!AB18,'Posição da carteira - mensal'!AC18,'Posição da carteira - mensal'!AA18)</f>
        <v>422.6918004970854</v>
      </c>
      <c r="C90" s="33">
        <f>SUM('Posição da carteira - mensal'!F18,'Posição da carteira - mensal'!P18,'Posição da carteira - mensal'!G18,'Posição da carteira - mensal'!H18,'Posição da carteira - mensal'!M18,'Posição da carteira - mensal'!O18,'Posição da carteira - mensal'!AC18)/B90</f>
        <v>0.32556273441462547</v>
      </c>
      <c r="D90" s="33">
        <v>0</v>
      </c>
      <c r="E90" s="33">
        <f>SUM('Posição da carteira - mensal'!B18,'Posição da carteira - mensal'!C18)/B90</f>
        <v>0.6432075500582835</v>
      </c>
      <c r="F90" s="33">
        <f>SUM('Posição da carteira - mensal'!Q18,'Posição da carteira - mensal'!S18,'Posição da carteira - mensal'!T18)/B90</f>
        <v>0.012399459934345984</v>
      </c>
      <c r="G90" s="33">
        <f>SUM('Posição da carteira - mensal'!L18,'Posição da carteira - mensal'!N18)/B90</f>
        <v>0.0016022205394042562</v>
      </c>
      <c r="H90" s="33">
        <f>SUM('Posição da carteira - mensal'!E18,'Posição da carteira - mensal'!I18,'Posição da carteira - mensal'!J18,'Posição da carteira - mensal'!K18,'Posição da carteira - mensal'!AA18,'Posição da carteira - mensal'!AB18)/B90</f>
        <v>0.01722803505334081</v>
      </c>
      <c r="AS90" s="12"/>
    </row>
    <row r="91" spans="1:45" s="11" customFormat="1" ht="12.75">
      <c r="A91" s="28">
        <v>40725</v>
      </c>
      <c r="B91" s="29">
        <f>SUM('Posição da carteira - mensal'!B19,'Posição da carteira - mensal'!C19,'Posição da carteira - mensal'!E19,'Posição da carteira - mensal'!F19,'Posição da carteira - mensal'!G19,'Posição da carteira - mensal'!H19,'Posição da carteira - mensal'!I19,'Posição da carteira - mensal'!J19,'Posição da carteira - mensal'!K19,'Posição da carteira - mensal'!L19,'Posição da carteira - mensal'!M19,'Posição da carteira - mensal'!N19,'Posição da carteira - mensal'!O19,'Posição da carteira - mensal'!P19,'Posição da carteira - mensal'!Q19,'Posição da carteira - mensal'!S19,'Posição da carteira - mensal'!T19,'Posição da carteira - mensal'!AB19,'Posição da carteira - mensal'!AC19,'Posição da carteira - mensal'!AA19)</f>
        <v>372.903528627514</v>
      </c>
      <c r="C91" s="33">
        <f>SUM('Posição da carteira - mensal'!F19,'Posição da carteira - mensal'!P19,'Posição da carteira - mensal'!G19,'Posição da carteira - mensal'!H19,'Posição da carteira - mensal'!M19,'Posição da carteira - mensal'!O19,'Posição da carteira - mensal'!AC19)/B91</f>
        <v>0.34890533802013585</v>
      </c>
      <c r="D91" s="33">
        <v>0</v>
      </c>
      <c r="E91" s="33">
        <f>SUM('Posição da carteira - mensal'!B19,'Posição da carteira - mensal'!C19)/B91</f>
        <v>0.6231709663187538</v>
      </c>
      <c r="F91" s="33">
        <f>SUM('Posição da carteira - mensal'!Q19,'Posição da carteira - mensal'!S19,'Posição da carteira - mensal'!T19)/B91</f>
        <v>0.014589038018407679</v>
      </c>
      <c r="G91" s="33">
        <f>SUM('Posição da carteira - mensal'!L19,'Posição da carteira - mensal'!N19)/B91</f>
        <v>0.001667035677464124</v>
      </c>
      <c r="H91" s="33">
        <f>SUM('Posição da carteira - mensal'!E19,'Posição da carteira - mensal'!I19,'Posição da carteira - mensal'!J19,'Posição da carteira - mensal'!K19,'Posição da carteira - mensal'!AA19,'Posição da carteira - mensal'!AB19)/B91</f>
        <v>0.011667621965238342</v>
      </c>
      <c r="AS91" s="12"/>
    </row>
    <row r="92" spans="1:45" s="11" customFormat="1" ht="12.75">
      <c r="A92" s="28">
        <v>40756</v>
      </c>
      <c r="B92" s="29">
        <f>SUM('Posição da carteira - mensal'!B20,'Posição da carteira - mensal'!C20,'Posição da carteira - mensal'!E20,'Posição da carteira - mensal'!F20,'Posição da carteira - mensal'!G20,'Posição da carteira - mensal'!H20,'Posição da carteira - mensal'!I20,'Posição da carteira - mensal'!J20,'Posição da carteira - mensal'!K20,'Posição da carteira - mensal'!L20,'Posição da carteira - mensal'!M20,'Posição da carteira - mensal'!N20,'Posição da carteira - mensal'!O20,'Posição da carteira - mensal'!P20,'Posição da carteira - mensal'!Q20,'Posição da carteira - mensal'!S20,'Posição da carteira - mensal'!T20,'Posição da carteira - mensal'!AB20,'Posição da carteira - mensal'!AC20,'Posição da carteira - mensal'!AA20)</f>
        <v>364.5127292477319</v>
      </c>
      <c r="C92" s="33">
        <f>SUM('Posição da carteira - mensal'!F20,'Posição da carteira - mensal'!P20,'Posição da carteira - mensal'!G20,'Posição da carteira - mensal'!H20,'Posição da carteira - mensal'!M20,'Posição da carteira - mensal'!O20,'Posição da carteira - mensal'!AC20)/B92</f>
        <v>0.37910488980624624</v>
      </c>
      <c r="D92" s="33">
        <v>0</v>
      </c>
      <c r="E92" s="33">
        <f>SUM('Posição da carteira - mensal'!B20,'Posição da carteira - mensal'!C20)/B92</f>
        <v>0.588528557031787</v>
      </c>
      <c r="F92" s="33">
        <f>SUM('Posição da carteira - mensal'!Q20,'Posição da carteira - mensal'!S20,'Posição da carteira - mensal'!T20)/B92</f>
        <v>0.01618034515413326</v>
      </c>
      <c r="G92" s="33">
        <f>SUM('Posição da carteira - mensal'!L20,'Posição da carteira - mensal'!N20)/B92</f>
        <v>0.001999125185901864</v>
      </c>
      <c r="H92" s="33">
        <f>SUM('Posição da carteira - mensal'!E20,'Posição da carteira - mensal'!I20,'Posição da carteira - mensal'!J20,'Posição da carteira - mensal'!K20,'Posição da carteira - mensal'!AA20,'Posição da carteira - mensal'!AB20)/B92</f>
        <v>0.014187082821931561</v>
      </c>
      <c r="AS92" s="12"/>
    </row>
    <row r="93" spans="1:45" s="11" customFormat="1" ht="12.75">
      <c r="A93" s="28">
        <v>40787</v>
      </c>
      <c r="B93" s="29">
        <f>SUM('Posição da carteira - mensal'!B21,'Posição da carteira - mensal'!C21,'Posição da carteira - mensal'!E21,'Posição da carteira - mensal'!F21,'Posição da carteira - mensal'!G21,'Posição da carteira - mensal'!H21,'Posição da carteira - mensal'!I21,'Posição da carteira - mensal'!J21,'Posição da carteira - mensal'!K21,'Posição da carteira - mensal'!L21,'Posição da carteira - mensal'!M21,'Posição da carteira - mensal'!N21,'Posição da carteira - mensal'!O21,'Posição da carteira - mensal'!P21,'Posição da carteira - mensal'!Q21,'Posição da carteira - mensal'!S21,'Posição da carteira - mensal'!T21,'Posição da carteira - mensal'!AB21,'Posição da carteira - mensal'!AC21,'Posição da carteira - mensal'!AA21)</f>
        <v>333.11557208423216</v>
      </c>
      <c r="C93" s="33">
        <f>SUM('Posição da carteira - mensal'!F21,'Posição da carteira - mensal'!P21,'Posição da carteira - mensal'!G21,'Posição da carteira - mensal'!H21,'Posição da carteira - mensal'!M21,'Posição da carteira - mensal'!O21,'Posição da carteira - mensal'!AC21)/B93</f>
        <v>0.35440498939442683</v>
      </c>
      <c r="D93" s="33">
        <v>0</v>
      </c>
      <c r="E93" s="33">
        <f>SUM('Posição da carteira - mensal'!B21,'Posição da carteira - mensal'!C21)/B93</f>
        <v>0.6127830487446552</v>
      </c>
      <c r="F93" s="33">
        <f>SUM('Posição da carteira - mensal'!Q21,'Posição da carteira - mensal'!S21,'Posição da carteira - mensal'!T21)/B93</f>
        <v>0.018715487960690832</v>
      </c>
      <c r="G93" s="33">
        <f>SUM('Posição da carteira - mensal'!L21,'Posição da carteira - mensal'!N21)/B93</f>
        <v>0.0024065359585296125</v>
      </c>
      <c r="H93" s="33">
        <f>SUM('Posição da carteira - mensal'!E21,'Posição da carteira - mensal'!I21,'Posição da carteira - mensal'!J21,'Posição da carteira - mensal'!K21,'Posição da carteira - mensal'!AA21,'Posição da carteira - mensal'!AB21)/B93</f>
        <v>0.011689937941697256</v>
      </c>
      <c r="AS93" s="12"/>
    </row>
    <row r="94" spans="1:45" s="11" customFormat="1" ht="12.75">
      <c r="A94" s="28">
        <v>40817</v>
      </c>
      <c r="B94" s="29">
        <f>SUM('Posição da carteira - mensal'!B22,'Posição da carteira - mensal'!C22,'Posição da carteira - mensal'!E22,'Posição da carteira - mensal'!F22,'Posição da carteira - mensal'!G22,'Posição da carteira - mensal'!H22,'Posição da carteira - mensal'!I22,'Posição da carteira - mensal'!J22,'Posição da carteira - mensal'!K22,'Posição da carteira - mensal'!L22,'Posição da carteira - mensal'!M22,'Posição da carteira - mensal'!N22,'Posição da carteira - mensal'!O22,'Posição da carteira - mensal'!P22,'Posição da carteira - mensal'!Q22,'Posição da carteira - mensal'!S22,'Posição da carteira - mensal'!T22,'Posição da carteira - mensal'!AB22,'Posição da carteira - mensal'!AC22,'Posição da carteira - mensal'!AA22)</f>
        <v>386.52628205626297</v>
      </c>
      <c r="C94" s="33">
        <f>SUM('Posição da carteira - mensal'!F22,'Posição da carteira - mensal'!P22,'Posição da carteira - mensal'!G22,'Posição da carteira - mensal'!H22,'Posição da carteira - mensal'!M22,'Posição da carteira - mensal'!O22,'Posição da carteira - mensal'!AC22)/B94</f>
        <v>0.3346472969924319</v>
      </c>
      <c r="D94" s="33">
        <v>0</v>
      </c>
      <c r="E94" s="33">
        <f>SUM('Posição da carteira - mensal'!B22,'Posição da carteira - mensal'!C22)/B94</f>
        <v>0.6315249117929179</v>
      </c>
      <c r="F94" s="33">
        <f>SUM('Posição da carteira - mensal'!Q22,'Posição da carteira - mensal'!S22,'Posição da carteira - mensal'!T22)/B94</f>
        <v>0.020028960123733744</v>
      </c>
      <c r="G94" s="33">
        <f>SUM('Posição da carteira - mensal'!L22,'Posição da carteira - mensal'!N22)/B94</f>
        <v>0.0026673668493919535</v>
      </c>
      <c r="H94" s="33">
        <f>SUM('Posição da carteira - mensal'!E22,'Posição da carteira - mensal'!I22,'Posição da carteira - mensal'!J22,'Posição da carteira - mensal'!K22,'Posição da carteira - mensal'!AA22,'Posição da carteira - mensal'!AB22)/B94</f>
        <v>0.011131464241524605</v>
      </c>
      <c r="AS94" s="12"/>
    </row>
    <row r="95" spans="1:45" s="11" customFormat="1" ht="12.75">
      <c r="A95" s="28">
        <v>40848</v>
      </c>
      <c r="B95" s="29">
        <f>SUM('Posição da carteira - mensal'!B23,'Posição da carteira - mensal'!C23,'Posição da carteira - mensal'!E23,'Posição da carteira - mensal'!F23,'Posição da carteira - mensal'!G23,'Posição da carteira - mensal'!H23,'Posição da carteira - mensal'!I23,'Posição da carteira - mensal'!J23,'Posição da carteira - mensal'!K23,'Posição da carteira - mensal'!L23,'Posição da carteira - mensal'!M23,'Posição da carteira - mensal'!N23,'Posição da carteira - mensal'!O23,'Posição da carteira - mensal'!P23,'Posição da carteira - mensal'!Q23,'Posição da carteira - mensal'!S23,'Posição da carteira - mensal'!T23,'Posição da carteira - mensal'!AB23,'Posição da carteira - mensal'!AC23,'Posição da carteira - mensal'!AA23)</f>
        <v>362.98623295433214</v>
      </c>
      <c r="C95" s="33">
        <f>SUM('Posição da carteira - mensal'!F23,'Posição da carteira - mensal'!P23,'Posição da carteira - mensal'!G23,'Posição da carteira - mensal'!H23,'Posição da carteira - mensal'!M23,'Posição da carteira - mensal'!O23,'Posição da carteira - mensal'!AC23)/B95</f>
        <v>0.350153749807596</v>
      </c>
      <c r="D95" s="33">
        <v>0</v>
      </c>
      <c r="E95" s="33">
        <f>SUM('Posição da carteira - mensal'!B23,'Posição da carteira - mensal'!C23)/B95</f>
        <v>0.6220599568832502</v>
      </c>
      <c r="F95" s="33">
        <f>SUM('Posição da carteira - mensal'!Q23,'Posição da carteira - mensal'!S23,'Posição da carteira - mensal'!T23)/B95</f>
        <v>0.013349377835364001</v>
      </c>
      <c r="G95" s="33">
        <f>SUM('Posição da carteira - mensal'!L23,'Posição da carteira - mensal'!N23)/B95</f>
        <v>0.0028555999250145948</v>
      </c>
      <c r="H95" s="33">
        <f>SUM('Posição da carteira - mensal'!E23,'Posição da carteira - mensal'!I23,'Posição da carteira - mensal'!J23,'Posição da carteira - mensal'!K23,'Posição da carteira - mensal'!AA23,'Posição da carteira - mensal'!AB23)/B95</f>
        <v>0.011581315548775188</v>
      </c>
      <c r="AS95" s="12"/>
    </row>
    <row r="96" spans="1:45" s="11" customFormat="1" ht="12.75">
      <c r="A96" s="28">
        <v>40878</v>
      </c>
      <c r="B96" s="29">
        <f>SUM('Posição da carteira - mensal'!B24,'Posição da carteira - mensal'!C24,'Posição da carteira - mensal'!E24,'Posição da carteira - mensal'!F24,'Posição da carteira - mensal'!G24,'Posição da carteira - mensal'!H24,'Posição da carteira - mensal'!I24,'Posição da carteira - mensal'!J24,'Posição da carteira - mensal'!K24,'Posição da carteira - mensal'!L24,'Posição da carteira - mensal'!M24,'Posição da carteira - mensal'!N24,'Posição da carteira - mensal'!O24,'Posição da carteira - mensal'!P24,'Posição da carteira - mensal'!Q24,'Posição da carteira - mensal'!S24,'Posição da carteira - mensal'!T24,'Posição da carteira - mensal'!AB24,'Posição da carteira - mensal'!AC24,'Posição da carteira - mensal'!AA24)</f>
        <v>350.4274279011621</v>
      </c>
      <c r="C96" s="33">
        <f>SUM('Posição da carteira - mensal'!F24,'Posição da carteira - mensal'!P24,'Posição da carteira - mensal'!G24,'Posição da carteira - mensal'!H24,'Posição da carteira - mensal'!M24,'Posição da carteira - mensal'!O24,'Posição da carteira - mensal'!AC24)/B96</f>
        <v>0.35015374980759606</v>
      </c>
      <c r="D96" s="33">
        <v>0</v>
      </c>
      <c r="E96" s="33">
        <f>SUM('Posição da carteira - mensal'!B24,'Posição da carteira - mensal'!C24)/B96</f>
        <v>0.6220599568832503</v>
      </c>
      <c r="F96" s="33">
        <f>SUM('Posição da carteira - mensal'!Q24,'Posição da carteira - mensal'!S24,'Posição da carteira - mensal'!T24)/B96</f>
        <v>0.013349377835364004</v>
      </c>
      <c r="G96" s="33">
        <f>SUM('Posição da carteira - mensal'!L24,'Posição da carteira - mensal'!N24)/B96</f>
        <v>0.0028555999250145956</v>
      </c>
      <c r="H96" s="33">
        <f>SUM('Posição da carteira - mensal'!E24,'Posição da carteira - mensal'!I24,'Posição da carteira - mensal'!J24,'Posição da carteira - mensal'!K24,'Posição da carteira - mensal'!AA24,'Posição da carteira - mensal'!AB24)/B96</f>
        <v>0.011581315548775194</v>
      </c>
      <c r="AS96" s="12"/>
    </row>
    <row r="97" spans="1:45" s="11" customFormat="1" ht="12.75">
      <c r="A97" s="28">
        <v>40909</v>
      </c>
      <c r="B97" s="29">
        <f>SUM('Posição da carteira - mensal'!B25,'Posição da carteira - mensal'!C25,'Posição da carteira - mensal'!E25,'Posição da carteira - mensal'!F25,'Posição da carteira - mensal'!G25,'Posição da carteira - mensal'!H25,'Posição da carteira - mensal'!I25,'Posição da carteira - mensal'!J25,'Posição da carteira - mensal'!K25,'Posição da carteira - mensal'!L25,'Posição da carteira - mensal'!M25,'Posição da carteira - mensal'!N25,'Posição da carteira - mensal'!O25,'Posição da carteira - mensal'!P25,'Posição da carteira - mensal'!Q25,'Posição da carteira - mensal'!S25,'Posição da carteira - mensal'!T25,'Posição da carteira - mensal'!AB25,'Posição da carteira - mensal'!AC25,'Posição da carteira - mensal'!AA25)</f>
        <v>420.63158023057895</v>
      </c>
      <c r="C97" s="33">
        <f>SUM('Posição da carteira - mensal'!F25,'Posição da carteira - mensal'!P25,'Posição da carteira - mensal'!G25,'Posição da carteira - mensal'!H25,'Posição da carteira - mensal'!M25,'Posição da carteira - mensal'!O25,'Posição da carteira - mensal'!AC25)/B97</f>
        <v>0.3441262398489502</v>
      </c>
      <c r="D97" s="33">
        <v>0</v>
      </c>
      <c r="E97" s="33">
        <f>SUM('Posição da carteira - mensal'!B25,'Posição da carteira - mensal'!C25)/B97</f>
        <v>0.6302686142632327</v>
      </c>
      <c r="F97" s="33">
        <f>SUM('Posição da carteira - mensal'!Q25,'Posição da carteira - mensal'!S25,'Posição da carteira - mensal'!T25)/B97</f>
        <v>0.01183539421970181</v>
      </c>
      <c r="G97" s="33">
        <f>SUM('Posição da carteira - mensal'!L25,'Posição da carteira - mensal'!N25)/B97</f>
        <v>0.0029037528572703275</v>
      </c>
      <c r="H97" s="33">
        <f>SUM('Posição da carteira - mensal'!E25,'Posição da carteira - mensal'!I25,'Posição da carteira - mensal'!J25,'Posição da carteira - mensal'!K25,'Posição da carteira - mensal'!AA25,'Posição da carteira - mensal'!AB25)/B97</f>
        <v>0.010865998810845146</v>
      </c>
      <c r="AS97" s="12"/>
    </row>
    <row r="98" spans="1:45" s="11" customFormat="1" ht="12.75">
      <c r="A98" s="28">
        <v>40940</v>
      </c>
      <c r="B98" s="29">
        <f>SUM('Posição da carteira - mensal'!B26,'Posição da carteira - mensal'!C26,'Posição da carteira - mensal'!E26,'Posição da carteira - mensal'!F26,'Posição da carteira - mensal'!G26,'Posição da carteira - mensal'!H26,'Posição da carteira - mensal'!I26,'Posição da carteira - mensal'!J26,'Posição da carteira - mensal'!K26,'Posição da carteira - mensal'!L26,'Posição da carteira - mensal'!M26,'Posição da carteira - mensal'!N26,'Posição da carteira - mensal'!O26,'Posição da carteira - mensal'!P26,'Posição da carteira - mensal'!Q26,'Posição da carteira - mensal'!S26,'Posição da carteira - mensal'!T26,'Posição da carteira - mensal'!AB26,'Posição da carteira - mensal'!AC26,'Posição da carteira - mensal'!AA26)</f>
        <v>440.20739537619943</v>
      </c>
      <c r="C98" s="33">
        <f>SUM('Posição da carteira - mensal'!F26,'Posição da carteira - mensal'!P26,'Posição da carteira - mensal'!G26,'Posição da carteira - mensal'!H26,'Posição da carteira - mensal'!M26,'Posição da carteira - mensal'!O26,'Posição da carteira - mensal'!AC26)/B98</f>
        <v>0.32752058993881683</v>
      </c>
      <c r="D98" s="33">
        <v>0</v>
      </c>
      <c r="E98" s="33">
        <f>SUM('Posição da carteira - mensal'!B26,'Posição da carteira - mensal'!C26)/B98</f>
        <v>0.6473827865126297</v>
      </c>
      <c r="F98" s="33">
        <f>SUM('Posição da carteira - mensal'!Q26,'Posição da carteira - mensal'!S26,'Posição da carteira - mensal'!T26)/B98</f>
        <v>0.009098206242474928</v>
      </c>
      <c r="G98" s="33">
        <f>SUM('Posição da carteira - mensal'!L26,'Posição da carteira - mensal'!N26)/B98</f>
        <v>0.0024972965075261027</v>
      </c>
      <c r="H98" s="33">
        <f>SUM('Posição da carteira - mensal'!E26,'Posição da carteira - mensal'!I26,'Posição da carteira - mensal'!J26,'Posição da carteira - mensal'!K26,'Posição da carteira - mensal'!AA26,'Posição da carteira - mensal'!AB26)/B98</f>
        <v>0.01350112079855226</v>
      </c>
      <c r="AS98" s="12"/>
    </row>
    <row r="99" spans="1:45" s="11" customFormat="1" ht="12.75">
      <c r="A99" s="28">
        <v>40969</v>
      </c>
      <c r="B99" s="29">
        <f>SUM('Posição da carteira - mensal'!B27,'Posição da carteira - mensal'!C27,'Posição da carteira - mensal'!E27,'Posição da carteira - mensal'!F27,'Posição da carteira - mensal'!G27,'Posição da carteira - mensal'!H27,'Posição da carteira - mensal'!I27,'Posição da carteira - mensal'!J27,'Posição da carteira - mensal'!K27,'Posição da carteira - mensal'!L27,'Posição da carteira - mensal'!M27,'Posição da carteira - mensal'!N27,'Posição da carteira - mensal'!O27,'Posição da carteira - mensal'!P27,'Posição da carteira - mensal'!Q27,'Posição da carteira - mensal'!S27,'Posição da carteira - mensal'!T27,'Posição da carteira - mensal'!AB27,'Posição da carteira - mensal'!AC27,'Posição da carteira - mensal'!AA27)</f>
        <v>421.50901571373674</v>
      </c>
      <c r="C99" s="33">
        <f>SUM('Posição da carteira - mensal'!F27,'Posição da carteira - mensal'!P27,'Posição da carteira - mensal'!G27,'Posição da carteira - mensal'!H27,'Posição da carteira - mensal'!M27,'Posição da carteira - mensal'!O27,'Posição da carteira - mensal'!AC27)/B99</f>
        <v>0.34213385753537173</v>
      </c>
      <c r="D99" s="33">
        <v>0</v>
      </c>
      <c r="E99" s="33">
        <f>SUM('Posição da carteira - mensal'!B27,'Posição da carteira - mensal'!C27)/B99</f>
        <v>0.6283122162120921</v>
      </c>
      <c r="F99" s="33">
        <f>SUM('Posição da carteira - mensal'!Q27,'Posição da carteira - mensal'!S27,'Posição da carteira - mensal'!T27)/B99</f>
        <v>0.01654817528446018</v>
      </c>
      <c r="G99" s="33">
        <f>SUM('Posição da carteira - mensal'!L27,'Posição da carteira - mensal'!N27)/B99</f>
        <v>0.0024435267284590363</v>
      </c>
      <c r="H99" s="33">
        <f>SUM('Posição da carteira - mensal'!E27,'Posição da carteira - mensal'!I27,'Posição da carteira - mensal'!J27,'Posição da carteira - mensal'!K27,'Posição da carteira - mensal'!AA27,'Posição da carteira - mensal'!AB27)/B99</f>
        <v>0.010562224239617298</v>
      </c>
      <c r="AS99" s="12"/>
    </row>
    <row r="100" spans="1:45" s="11" customFormat="1" ht="12.75">
      <c r="A100" s="28">
        <v>41000</v>
      </c>
      <c r="B100" s="29">
        <f>SUM('Posição da carteira - mensal'!B28,'Posição da carteira - mensal'!C28,'Posição da carteira - mensal'!E28,'Posição da carteira - mensal'!F28,'Posição da carteira - mensal'!G28,'Posição da carteira - mensal'!H28,'Posição da carteira - mensal'!I28,'Posição da carteira - mensal'!J28,'Posição da carteira - mensal'!K28,'Posição da carteira - mensal'!L28,'Posição da carteira - mensal'!M28,'Posição da carteira - mensal'!N28,'Posição da carteira - mensal'!O28,'Posição da carteira - mensal'!P28,'Posição da carteira - mensal'!Q28,'Posição da carteira - mensal'!S28,'Posição da carteira - mensal'!T28,'Posição da carteira - mensal'!AB28,'Posição da carteira - mensal'!AC28,'Posição da carteira - mensal'!AA28)</f>
        <v>392.59429040437675</v>
      </c>
      <c r="C100" s="33">
        <f>SUM('Posição da carteira - mensal'!F28,'Posição da carteira - mensal'!P28,'Posição da carteira - mensal'!G28,'Posição da carteira - mensal'!H28,'Posição da carteira - mensal'!M28,'Posição da carteira - mensal'!O28,'Posição da carteira - mensal'!AC28)/B100</f>
        <v>0.35025070721276025</v>
      </c>
      <c r="D100" s="33">
        <v>0</v>
      </c>
      <c r="E100" s="33">
        <f>SUM('Posição da carteira - mensal'!B28,'Posição da carteira - mensal'!C28)/B100</f>
        <v>0.6164384455287272</v>
      </c>
      <c r="F100" s="33">
        <f>SUM('Posição da carteira - mensal'!Q28,'Posição da carteira - mensal'!S28,'Posição da carteira - mensal'!T28)/B100</f>
        <v>0.02171140603606649</v>
      </c>
      <c r="G100" s="33">
        <f>SUM('Posição da carteira - mensal'!L28,'Posição da carteira - mensal'!N28)/B100</f>
        <v>0.002572656085624124</v>
      </c>
      <c r="H100" s="33">
        <f>SUM('Posição da carteira - mensal'!E28,'Posição da carteira - mensal'!I28,'Posição da carteira - mensal'!J28,'Posição da carteira - mensal'!K28,'Posição da carteira - mensal'!AA28,'Posição da carteira - mensal'!AB28)/B100</f>
        <v>0.009026785136821995</v>
      </c>
      <c r="AS100" s="12"/>
    </row>
    <row r="101" spans="1:45" s="11" customFormat="1" ht="12.75">
      <c r="A101" s="28">
        <v>41030</v>
      </c>
      <c r="B101" s="29">
        <f>SUM('Posição da carteira - mensal'!B29,'Posição da carteira - mensal'!C29,'Posição da carteira - mensal'!E29,'Posição da carteira - mensal'!F29,'Posição da carteira - mensal'!G29,'Posição da carteira - mensal'!H29,'Posição da carteira - mensal'!I29,'Posição da carteira - mensal'!J29,'Posição da carteira - mensal'!K29,'Posição da carteira - mensal'!L29,'Posição da carteira - mensal'!M29,'Posição da carteira - mensal'!N29,'Posição da carteira - mensal'!O29,'Posição da carteira - mensal'!P29,'Posição da carteira - mensal'!Q29,'Posição da carteira - mensal'!S29,'Posição da carteira - mensal'!T29,'Posição da carteira - mensal'!AB29,'Posição da carteira - mensal'!AC29,'Posição da carteira - mensal'!AA29)</f>
        <v>350.6840018711368</v>
      </c>
      <c r="C101" s="33">
        <f>SUM('Posição da carteira - mensal'!F29,'Posição da carteira - mensal'!P29,'Posição da carteira - mensal'!G29,'Posição da carteira - mensal'!H29,'Posição da carteira - mensal'!M29,'Posição da carteira - mensal'!O29,'Posição da carteira - mensal'!AC29)/B101</f>
        <v>0.3735828315329499</v>
      </c>
      <c r="D101" s="33">
        <v>0</v>
      </c>
      <c r="E101" s="33">
        <f>SUM('Posição da carteira - mensal'!B29,'Posição da carteira - mensal'!C29)/B101</f>
        <v>0.5908334556707886</v>
      </c>
      <c r="F101" s="33">
        <f>SUM('Posição da carteira - mensal'!Q29,'Posição da carteira - mensal'!S29,'Posição da carteira - mensal'!T29)/B101</f>
        <v>0.02304321527474008</v>
      </c>
      <c r="G101" s="33">
        <f>SUM('Posição da carteira - mensal'!L29,'Posição da carteira - mensal'!N29)/B101</f>
        <v>0.002820816597425884</v>
      </c>
      <c r="H101" s="33">
        <f>SUM('Posição da carteira - mensal'!E29,'Posição da carteira - mensal'!I29,'Posição da carteira - mensal'!J29,'Posição da carteira - mensal'!K29,'Posição da carteira - mensal'!AA29,'Posição da carteira - mensal'!AB29)/B101</f>
        <v>0.009719680924095612</v>
      </c>
      <c r="AS101" s="12"/>
    </row>
    <row r="102" spans="1:45" s="11" customFormat="1" ht="12.75">
      <c r="A102" s="28">
        <v>41061</v>
      </c>
      <c r="B102" s="29">
        <f>SUM('Posição da carteira - mensal'!B30,'Posição da carteira - mensal'!C30,'Posição da carteira - mensal'!E30,'Posição da carteira - mensal'!F30,'Posição da carteira - mensal'!G30,'Posição da carteira - mensal'!H30,'Posição da carteira - mensal'!I30,'Posição da carteira - mensal'!J30,'Posição da carteira - mensal'!K30,'Posição da carteira - mensal'!L30,'Posição da carteira - mensal'!M30,'Posição da carteira - mensal'!N30,'Posição da carteira - mensal'!O30,'Posição da carteira - mensal'!P30,'Posição da carteira - mensal'!Q30,'Posição da carteira - mensal'!S30,'Posição da carteira - mensal'!T30,'Posição da carteira - mensal'!AB30,'Posição da carteira - mensal'!AC30,'Posição da carteira - mensal'!AA30)</f>
        <v>349.94375238905644</v>
      </c>
      <c r="C102" s="33">
        <f>SUM('Posição da carteira - mensal'!F30,'Posição da carteira - mensal'!P30,'Posição da carteira - mensal'!G30,'Posição da carteira - mensal'!H30,'Posição da carteira - mensal'!M30,'Posição da carteira - mensal'!O30,'Posição da carteira - mensal'!AC30)/B102</f>
        <v>0.3870734152241074</v>
      </c>
      <c r="D102" s="33">
        <v>0</v>
      </c>
      <c r="E102" s="33">
        <f>SUM('Posição da carteira - mensal'!B30,'Posição da carteira - mensal'!C30)/B102</f>
        <v>0.591564355076047</v>
      </c>
      <c r="F102" s="33">
        <f>SUM('Posição da carteira - mensal'!Q30,'Posição da carteira - mensal'!S30,'Posição da carteira - mensal'!T30)/B102</f>
        <v>0.009114695062899742</v>
      </c>
      <c r="G102" s="33">
        <f>SUM('Posição da carteira - mensal'!L30,'Posição da carteira - mensal'!N30)/B102</f>
        <v>0.0025456861686624552</v>
      </c>
      <c r="H102" s="33">
        <f>SUM('Posição da carteira - mensal'!E30,'Posição da carteira - mensal'!I30,'Posição da carteira - mensal'!J30,'Posição da carteira - mensal'!K30,'Posição da carteira - mensal'!AA30,'Posição da carteira - mensal'!AB30)/B102</f>
        <v>0.009701848468283711</v>
      </c>
      <c r="AS102" s="12"/>
    </row>
    <row r="103" spans="1:45" s="11" customFormat="1" ht="12.75">
      <c r="A103" s="28">
        <v>41091</v>
      </c>
      <c r="B103" s="29">
        <f>SUM('Posição da carteira - mensal'!B31,'Posição da carteira - mensal'!C31,'Posição da carteira - mensal'!E31,'Posição da carteira - mensal'!F31,'Posição da carteira - mensal'!G31,'Posição da carteira - mensal'!H31,'Posição da carteira - mensal'!I31,'Posição da carteira - mensal'!J31,'Posição da carteira - mensal'!K31,'Posição da carteira - mensal'!L31,'Posição da carteira - mensal'!M31,'Posição da carteira - mensal'!N31,'Posição da carteira - mensal'!O31,'Posição da carteira - mensal'!P31,'Posição da carteira - mensal'!Q31,'Posição da carteira - mensal'!S31,'Posição da carteira - mensal'!T31,'Posição da carteira - mensal'!AB31,'Posição da carteira - mensal'!AC31,'Posição da carteira - mensal'!AA31)</f>
        <v>358.2981594394849</v>
      </c>
      <c r="C103" s="33">
        <f>SUM('Posição da carteira - mensal'!F31,'Posição da carteira - mensal'!P31,'Posição da carteira - mensal'!G31,'Posição da carteira - mensal'!H31,'Posição da carteira - mensal'!M31,'Posição da carteira - mensal'!O31,'Posição da carteira - mensal'!AC31)/B103</f>
        <v>0.38582638124023644</v>
      </c>
      <c r="D103" s="33">
        <v>0</v>
      </c>
      <c r="E103" s="33">
        <f>SUM('Posição da carteira - mensal'!B31,'Posição da carteira - mensal'!C31)/B103</f>
        <v>0.5914106908448297</v>
      </c>
      <c r="F103" s="33">
        <f>SUM('Posição da carteira - mensal'!Q31,'Posição da carteira - mensal'!S31,'Posição da carteira - mensal'!T31)/B103</f>
        <v>0.010136338047610908</v>
      </c>
      <c r="G103" s="33">
        <f>SUM('Posição da carteira - mensal'!L31,'Posição da carteira - mensal'!N31)/B103</f>
        <v>0.002472861425082493</v>
      </c>
      <c r="H103" s="33">
        <f>SUM('Posição da carteira - mensal'!E31,'Posição da carteira - mensal'!I31,'Posição da carteira - mensal'!J31,'Posição da carteira - mensal'!K31,'Posição da carteira - mensal'!AA31,'Posição da carteira - mensal'!AB31)/B103</f>
        <v>0.010153728442240276</v>
      </c>
      <c r="AS103" s="12"/>
    </row>
    <row r="104" spans="1:45" s="11" customFormat="1" ht="12.75">
      <c r="A104" s="28">
        <v>41122</v>
      </c>
      <c r="B104" s="29">
        <f>SUM('Posição da carteira - mensal'!B32,'Posição da carteira - mensal'!C32,'Posição da carteira - mensal'!E32,'Posição da carteira - mensal'!F32,'Posição da carteira - mensal'!G32,'Posição da carteira - mensal'!H32,'Posição da carteira - mensal'!I32,'Posição da carteira - mensal'!J32,'Posição da carteira - mensal'!K32,'Posição da carteira - mensal'!L32,'Posição da carteira - mensal'!M32,'Posição da carteira - mensal'!N32,'Posição da carteira - mensal'!O32,'Posição da carteira - mensal'!P32,'Posição da carteira - mensal'!Q32,'Posição da carteira - mensal'!S32,'Posição da carteira - mensal'!T32,'Posição da carteira - mensal'!AB32,'Posição da carteira - mensal'!AC32,'Posição da carteira - mensal'!AA32)</f>
        <v>360.32231331680737</v>
      </c>
      <c r="C104" s="33">
        <f>SUM('Posição da carteira - mensal'!F32,'Posição da carteira - mensal'!P32,'Posição da carteira - mensal'!G32,'Posição da carteira - mensal'!H32,'Posição da carteira - mensal'!M32,'Posição da carteira - mensal'!O32,'Posição da carteira - mensal'!AC32)/B104</f>
        <v>0.3806872667895699</v>
      </c>
      <c r="D104" s="33">
        <v>0</v>
      </c>
      <c r="E104" s="33">
        <f>SUM('Posição da carteira - mensal'!B32,'Posição da carteira - mensal'!C32)/B104</f>
        <v>0.5972969930433905</v>
      </c>
      <c r="F104" s="33">
        <f>SUM('Posição da carteira - mensal'!Q32,'Posição da carteira - mensal'!S32,'Posição da carteira - mensal'!T32)/B104</f>
        <v>0.009533560839015841</v>
      </c>
      <c r="G104" s="33">
        <f>SUM('Posição da carteira - mensal'!L32,'Posição da carteira - mensal'!N32)/B104</f>
        <v>0.0023852527369339267</v>
      </c>
      <c r="H104" s="33">
        <f>SUM('Posição da carteira - mensal'!E32,'Posição da carteira - mensal'!I32,'Posição da carteira - mensal'!J32,'Posição da carteira - mensal'!K32,'Posição da carteira - mensal'!AA32,'Posição da carteira - mensal'!AB32)/B104</f>
        <v>0.01009692659109001</v>
      </c>
      <c r="AS104" s="12"/>
    </row>
    <row r="105" spans="1:45" s="11" customFormat="1" ht="12.75">
      <c r="A105" s="28">
        <v>41153</v>
      </c>
      <c r="B105" s="29">
        <f>SUM('Posição da carteira - mensal'!B33,'Posição da carteira - mensal'!C33,'Posição da carteira - mensal'!E33,'Posição da carteira - mensal'!F33,'Posição da carteira - mensal'!G33,'Posição da carteira - mensal'!H33,'Posição da carteira - mensal'!I33,'Posição da carteira - mensal'!J33,'Posição da carteira - mensal'!K33,'Posição da carteira - mensal'!L33,'Posição da carteira - mensal'!M33,'Posição da carteira - mensal'!N33,'Posição da carteira - mensal'!O33,'Posição da carteira - mensal'!P33,'Posição da carteira - mensal'!Q33,'Posição da carteira - mensal'!S33,'Posição da carteira - mensal'!T33,'Posição da carteira - mensal'!AB33,'Posição da carteira - mensal'!AC33,'Posição da carteira - mensal'!AA33)</f>
        <v>365.76992445730326</v>
      </c>
      <c r="C105" s="33">
        <f>SUM('Posição da carteira - mensal'!F33,'Posição da carteira - mensal'!P33,'Posição da carteira - mensal'!G33,'Posição da carteira - mensal'!H33,'Posição da carteira - mensal'!M33,'Posição da carteira - mensal'!O33,'Posição da carteira - mensal'!AC33)/B105</f>
        <v>0.3792701473843593</v>
      </c>
      <c r="D105" s="33">
        <v>0</v>
      </c>
      <c r="E105" s="33">
        <f>SUM('Posição da carteira - mensal'!B33,'Posição da carteira - mensal'!C33)/B105</f>
        <v>0.5968466997687563</v>
      </c>
      <c r="F105" s="33">
        <f>SUM('Posição da carteira - mensal'!Q33,'Posição da carteira - mensal'!S33,'Posição da carteira - mensal'!T33)/B105</f>
        <v>0.01099270964270539</v>
      </c>
      <c r="G105" s="33">
        <f>SUM('Posição da carteira - mensal'!L33,'Posição da carteira - mensal'!N33)/B105</f>
        <v>0.0022784189708147397</v>
      </c>
      <c r="H105" s="33">
        <f>SUM('Posição da carteira - mensal'!E33,'Posição da carteira - mensal'!I33,'Posição da carteira - mensal'!J33,'Posição da carteira - mensal'!K33,'Posição da carteira - mensal'!AA33,'Posição da carteira - mensal'!AB33)/B105</f>
        <v>0.010612024233364204</v>
      </c>
      <c r="AS105" s="12"/>
    </row>
    <row r="106" spans="1:45" s="11" customFormat="1" ht="12.75">
      <c r="A106" s="28">
        <v>41183</v>
      </c>
      <c r="B106" s="29">
        <f>SUM('Posição da carteira - mensal'!B34,'Posição da carteira - mensal'!C34,'Posição da carteira - mensal'!E34,'Posição da carteira - mensal'!F34,'Posição da carteira - mensal'!G34,'Posição da carteira - mensal'!H34,'Posição da carteira - mensal'!I34,'Posição da carteira - mensal'!J34,'Posição da carteira - mensal'!K34,'Posição da carteira - mensal'!L34,'Posição da carteira - mensal'!M34,'Posição da carteira - mensal'!N34,'Posição da carteira - mensal'!O34,'Posição da carteira - mensal'!P34,'Posição da carteira - mensal'!Q34,'Posição da carteira - mensal'!S34,'Posição da carteira - mensal'!T34,'Posição da carteira - mensal'!AB34,'Posição da carteira - mensal'!AC34,'Posição da carteira - mensal'!AA34)</f>
        <v>380.0318741052529</v>
      </c>
      <c r="C106" s="33">
        <f>SUM('Posição da carteira - mensal'!F34,'Posição da carteira - mensal'!P34,'Posição da carteira - mensal'!G34,'Posição da carteira - mensal'!H34,'Posição da carteira - mensal'!M34,'Posição da carteira - mensal'!O34,'Posição da carteira - mensal'!AC34)/B106</f>
        <v>0.40003332760220356</v>
      </c>
      <c r="D106" s="33">
        <v>0</v>
      </c>
      <c r="E106" s="33">
        <f>SUM('Posição da carteira - mensal'!B34,'Posição da carteira - mensal'!C34)/B106</f>
        <v>0.5720295902241955</v>
      </c>
      <c r="F106" s="33">
        <f>SUM('Posição da carteira - mensal'!Q34,'Posição da carteira - mensal'!S34,'Posição da carteira - mensal'!T34)/B106</f>
        <v>0.01125633976231072</v>
      </c>
      <c r="G106" s="33">
        <f>SUM('Posição da carteira - mensal'!L34,'Posição da carteira - mensal'!N34)/B106</f>
        <v>0.004748499537846163</v>
      </c>
      <c r="H106" s="33">
        <f>SUM('Posição da carteira - mensal'!E34,'Posição da carteira - mensal'!I34,'Posição da carteira - mensal'!J34,'Posição da carteira - mensal'!K34,'Posição da carteira - mensal'!AA34,'Posição da carteira - mensal'!AB34)/B106</f>
        <v>0.0119322428734439</v>
      </c>
      <c r="AS106" s="12"/>
    </row>
    <row r="107" spans="1:45" s="11" customFormat="1" ht="12.75">
      <c r="A107" s="28">
        <v>41214</v>
      </c>
      <c r="B107" s="29">
        <f>SUM('Posição da carteira - mensal'!B35,'Posição da carteira - mensal'!C35,'Posição da carteira - mensal'!E35,'Posição da carteira - mensal'!F35,'Posição da carteira - mensal'!G35,'Posição da carteira - mensal'!H35,'Posição da carteira - mensal'!I35,'Posição da carteira - mensal'!J35,'Posição da carteira - mensal'!K35,'Posição da carteira - mensal'!L35,'Posição da carteira - mensal'!M35,'Posição da carteira - mensal'!N35,'Posição da carteira - mensal'!O35,'Posição da carteira - mensal'!P35,'Posição da carteira - mensal'!Q35,'Posição da carteira - mensal'!S35,'Posição da carteira - mensal'!T35,'Posição da carteira - mensal'!AB35,'Posição da carteira - mensal'!AC35,'Posição da carteira - mensal'!AA35)</f>
        <v>370.7087895264307</v>
      </c>
      <c r="C107" s="33">
        <f>SUM('Posição da carteira - mensal'!F35,'Posição da carteira - mensal'!P35,'Posição da carteira - mensal'!G35,'Posição da carteira - mensal'!H35,'Posição da carteira - mensal'!M35,'Posição da carteira - mensal'!O35,'Posição da carteira - mensal'!AC35)/B107</f>
        <v>0.4002710138272345</v>
      </c>
      <c r="D107" s="33">
        <v>0</v>
      </c>
      <c r="E107" s="33">
        <f>SUM('Posição da carteira - mensal'!B35,'Posição da carteira - mensal'!C35)/B107</f>
        <v>0.5730871690770232</v>
      </c>
      <c r="F107" s="33">
        <f>SUM('Posição da carteira - mensal'!Q35,'Posição da carteira - mensal'!S35,'Posição da carteira - mensal'!T35)/B107</f>
        <v>0.010280375024036295</v>
      </c>
      <c r="G107" s="33">
        <f>SUM('Posição da carteira - mensal'!L35,'Posição da carteira - mensal'!N35)/B107</f>
        <v>0.004626481697937351</v>
      </c>
      <c r="H107" s="33">
        <f>SUM('Posição da carteira - mensal'!E35,'Posição da carteira - mensal'!I35,'Posição da carteira - mensal'!J35,'Posição da carteira - mensal'!K35,'Posição da carteira - mensal'!AA35,'Posição da carteira - mensal'!AB35)/B107</f>
        <v>0.01173496037376855</v>
      </c>
      <c r="AS107" s="12"/>
    </row>
    <row r="108" spans="1:45" s="11" customFormat="1" ht="12.75">
      <c r="A108" s="28">
        <v>41244</v>
      </c>
      <c r="B108" s="29">
        <f>SUM('Posição da carteira - mensal'!B36,'Posição da carteira - mensal'!C36,'Posição da carteira - mensal'!E36,'Posição da carteira - mensal'!F36,'Posição da carteira - mensal'!G36,'Posição da carteira - mensal'!H36,'Posição da carteira - mensal'!I36,'Posição da carteira - mensal'!J36,'Posição da carteira - mensal'!K36,'Posição da carteira - mensal'!L36,'Posição da carteira - mensal'!M36,'Posição da carteira - mensal'!N36,'Posição da carteira - mensal'!O36,'Posição da carteira - mensal'!P36,'Posição da carteira - mensal'!Q36,'Posição da carteira - mensal'!S36,'Posição da carteira - mensal'!T36,'Posição da carteira - mensal'!AB36,'Posição da carteira - mensal'!AC36,'Posição da carteira - mensal'!AA36)</f>
        <v>398.6454576584291</v>
      </c>
      <c r="C108" s="33">
        <f>SUM('Posição da carteira - mensal'!F36,'Posição da carteira - mensal'!P36,'Posição da carteira - mensal'!G36,'Posição da carteira - mensal'!H36,'Posição da carteira - mensal'!M36,'Posição da carteira - mensal'!O36,'Posição da carteira - mensal'!AC36)/B108</f>
        <v>0.3923726364597892</v>
      </c>
      <c r="D108" s="33">
        <v>0</v>
      </c>
      <c r="E108" s="33">
        <f>SUM('Posição da carteira - mensal'!B36,'Posição da carteira - mensal'!C36)/B108</f>
        <v>0.5802419714131785</v>
      </c>
      <c r="F108" s="33">
        <f>SUM('Posição da carteira - mensal'!Q36,'Posição da carteira - mensal'!S36,'Posição da carteira - mensal'!T36)/B108</f>
        <v>0.007595441937288052</v>
      </c>
      <c r="G108" s="33">
        <f>SUM('Posição da carteira - mensal'!L36,'Posição da carteira - mensal'!N36)/B108</f>
        <v>0.004880385828821858</v>
      </c>
      <c r="H108" s="33">
        <f>SUM('Posição da carteira - mensal'!E36,'Posição da carteira - mensal'!I36,'Posição da carteira - mensal'!J36,'Posição da carteira - mensal'!K36,'Posição da carteira - mensal'!AA36,'Posição da carteira - mensal'!AB36)/B108</f>
        <v>0.014909564360922582</v>
      </c>
      <c r="AS108" s="12"/>
    </row>
    <row r="109" spans="1:45" s="11" customFormat="1" ht="12.75">
      <c r="A109" s="28">
        <v>41275</v>
      </c>
      <c r="B109" s="29">
        <f>SUM('Posição da carteira - mensal'!B37,'Posição da carteira - mensal'!C37,'Posição da carteira - mensal'!E37,'Posição da carteira - mensal'!F37,'Posição da carteira - mensal'!G37,'Posição da carteira - mensal'!H37,'Posição da carteira - mensal'!I37,'Posição da carteira - mensal'!J37,'Posição da carteira - mensal'!K37,'Posição da carteira - mensal'!L37,'Posição da carteira - mensal'!M37,'Posição da carteira - mensal'!N37,'Posição da carteira - mensal'!O37,'Posição da carteira - mensal'!P37,'Posição da carteira - mensal'!Q37,'Posição da carteira - mensal'!S37,'Posição da carteira - mensal'!T37,'Posição da carteira - mensal'!AB37,'Posição da carteira - mensal'!AC37,'Posição da carteira - mensal'!AA37)</f>
        <v>413.35001129608196</v>
      </c>
      <c r="C109" s="33">
        <f>SUM('Posição da carteira - mensal'!F37,'Posição da carteira - mensal'!P37,'Posição da carteira - mensal'!G37,'Posição da carteira - mensal'!H37,'Posição da carteira - mensal'!M37,'Posição da carteira - mensal'!O37,'Posição da carteira - mensal'!AC37)/B109</f>
        <v>0.39092397249060956</v>
      </c>
      <c r="D109" s="33">
        <v>0</v>
      </c>
      <c r="E109" s="33">
        <f>SUM('Posição da carteira - mensal'!B37,'Posição da carteira - mensal'!C37)/B109</f>
        <v>0.5839500326522865</v>
      </c>
      <c r="F109" s="33">
        <f>SUM('Posição da carteira - mensal'!Q37,'Posição da carteira - mensal'!S37,'Posição da carteira - mensal'!T37)/B109</f>
        <v>0.009176644930716418</v>
      </c>
      <c r="G109" s="33">
        <f>SUM('Posição da carteira - mensal'!L37,'Posição da carteira - mensal'!N37)/B109</f>
        <v>0.004858411196098466</v>
      </c>
      <c r="H109" s="33">
        <f>SUM('Posição da carteira - mensal'!E37,'Posição da carteira - mensal'!I37,'Posição da carteira - mensal'!J37,'Posição da carteira - mensal'!K37,'Posição da carteira - mensal'!AA37,'Posição da carteira - mensal'!AB37)/B109</f>
        <v>0.011090938730289403</v>
      </c>
      <c r="AS109" s="12"/>
    </row>
    <row r="110" spans="1:45" s="11" customFormat="1" ht="12.75">
      <c r="A110" s="28">
        <v>41306</v>
      </c>
      <c r="B110" s="29">
        <f>SUM('Posição da carteira - mensal'!B38,'Posição da carteira - mensal'!C38,'Posição da carteira - mensal'!E38,'Posição da carteira - mensal'!F38,'Posição da carteira - mensal'!G38,'Posição da carteira - mensal'!H38,'Posição da carteira - mensal'!I38,'Posição da carteira - mensal'!J38,'Posição da carteira - mensal'!K38,'Posição da carteira - mensal'!L38,'Posição da carteira - mensal'!M38,'Posição da carteira - mensal'!N38,'Posição da carteira - mensal'!O38,'Posição da carteira - mensal'!P38,'Posição da carteira - mensal'!Q38,'Posição da carteira - mensal'!S38,'Posição da carteira - mensal'!T38,'Posição da carteira - mensal'!AB38,'Posição da carteira - mensal'!AC38,'Posição da carteira - mensal'!AA38)</f>
        <v>412.6549873969829</v>
      </c>
      <c r="C110" s="33">
        <f>SUM('Posição da carteira - mensal'!F38,'Posição da carteira - mensal'!P38,'Posição da carteira - mensal'!G38,'Posição da carteira - mensal'!H38,'Posição da carteira - mensal'!M38,'Posição da carteira - mensal'!O38,'Posição da carteira - mensal'!AC38)/B110</f>
        <v>0.3887291570062126</v>
      </c>
      <c r="D110" s="33">
        <v>0</v>
      </c>
      <c r="E110" s="33">
        <f>SUM('Posição da carteira - mensal'!B38,'Posição da carteira - mensal'!C38)/B110</f>
        <v>0.5878415404483115</v>
      </c>
      <c r="F110" s="33">
        <f>SUM('Posição da carteira - mensal'!Q38,'Posição da carteira - mensal'!S38,'Posição da carteira - mensal'!T38)/B110</f>
        <v>0.006750713146808132</v>
      </c>
      <c r="G110" s="33">
        <f>SUM('Posição da carteira - mensal'!L38,'Posição da carteira - mensal'!N38)/B110</f>
        <v>0.00501515586971512</v>
      </c>
      <c r="H110" s="33">
        <f>SUM('Posição da carteira - mensal'!E38,'Posição da carteira - mensal'!I38,'Posição da carteira - mensal'!J38,'Posição da carteira - mensal'!K38,'Posição da carteira - mensal'!AA38,'Posição da carteira - mensal'!AB38)/B110</f>
        <v>0.011663433528952678</v>
      </c>
      <c r="AS110" s="12"/>
    </row>
    <row r="111" spans="1:45" s="11" customFormat="1" ht="12.75">
      <c r="A111" s="28">
        <v>41334</v>
      </c>
      <c r="B111" s="29">
        <f>SUM('Posição da carteira - mensal'!B39,'Posição da carteira - mensal'!C39,'Posição da carteira - mensal'!E39,'Posição da carteira - mensal'!F39,'Posição da carteira - mensal'!G39,'Posição da carteira - mensal'!H39,'Posição da carteira - mensal'!I39,'Posição da carteira - mensal'!J39,'Posição da carteira - mensal'!K39,'Posição da carteira - mensal'!L39,'Posição da carteira - mensal'!M39,'Posição da carteira - mensal'!N39,'Posição da carteira - mensal'!O39,'Posição da carteira - mensal'!P39,'Posição da carteira - mensal'!Q39,'Posição da carteira - mensal'!S39,'Posição da carteira - mensal'!T39,'Posição da carteira - mensal'!AB39,'Posição da carteira - mensal'!AC39,'Posição da carteira - mensal'!AA39)</f>
        <v>415.11946484457246</v>
      </c>
      <c r="C111" s="33">
        <f>SUM('Posição da carteira - mensal'!F39,'Posição da carteira - mensal'!P39,'Posição da carteira - mensal'!G39,'Posição da carteira - mensal'!H39,'Posição da carteira - mensal'!M39,'Posição da carteira - mensal'!O39,'Posição da carteira - mensal'!AC39)/B111</f>
        <v>0.39096409889134115</v>
      </c>
      <c r="D111" s="33">
        <v>0</v>
      </c>
      <c r="E111" s="33">
        <f>SUM('Posição da carteira - mensal'!B39,'Posição da carteira - mensal'!C39)/B111</f>
        <v>0.5668573935156554</v>
      </c>
      <c r="F111" s="33">
        <f>SUM('Posição da carteira - mensal'!Q39,'Posição da carteira - mensal'!S39,'Posição da carteira - mensal'!T39)/B111</f>
        <v>0.02289833117073221</v>
      </c>
      <c r="G111" s="33">
        <f>SUM('Posição da carteira - mensal'!L39,'Posição da carteira - mensal'!N39)/B111</f>
        <v>0.004800969920558936</v>
      </c>
      <c r="H111" s="33">
        <f>SUM('Posição da carteira - mensal'!E39,'Posição da carteira - mensal'!I39,'Posição da carteira - mensal'!J39,'Posição da carteira - mensal'!K39,'Posição da carteira - mensal'!AA39,'Posição da carteira - mensal'!AB39)/B111</f>
        <v>0.014479206501712345</v>
      </c>
      <c r="AS111" s="12"/>
    </row>
    <row r="112" spans="1:45" s="11" customFormat="1" ht="12.75">
      <c r="A112" s="28">
        <v>41365</v>
      </c>
      <c r="B112" s="29">
        <f>SUM('Posição da carteira - mensal'!B40,'Posição da carteira - mensal'!C40,'Posição da carteira - mensal'!E40,'Posição da carteira - mensal'!F40,'Posição da carteira - mensal'!G40,'Posição da carteira - mensal'!H40,'Posição da carteira - mensal'!I40,'Posição da carteira - mensal'!J40,'Posição da carteira - mensal'!K40,'Posição da carteira - mensal'!L40,'Posição da carteira - mensal'!M40,'Posição da carteira - mensal'!N40,'Posição da carteira - mensal'!O40,'Posição da carteira - mensal'!P40,'Posição da carteira - mensal'!Q40,'Posição da carteira - mensal'!S40,'Posição da carteira - mensal'!T40,'Posição da carteira - mensal'!AB40,'Posição da carteira - mensal'!AC40,'Posição da carteira - mensal'!AA40)</f>
        <v>415.88170661237956</v>
      </c>
      <c r="C112" s="33">
        <f>SUM('Posição da carteira - mensal'!F40,'Posição da carteira - mensal'!P40,'Posição da carteira - mensal'!G40,'Posição da carteira - mensal'!H40,'Posição da carteira - mensal'!M40,'Posição da carteira - mensal'!O40,'Posição da carteira - mensal'!AC40)/B112</f>
        <v>0.40192062345797575</v>
      </c>
      <c r="D112" s="33">
        <v>0</v>
      </c>
      <c r="E112" s="33">
        <f>SUM('Posição da carteira - mensal'!B40,'Posição da carteira - mensal'!C40)/B112</f>
        <v>0.569673824837658</v>
      </c>
      <c r="F112" s="33">
        <f>SUM('Posição da carteira - mensal'!Q40,'Posição da carteira - mensal'!S40,'Posição da carteira - mensal'!T40)/B112</f>
        <v>0.010832426751324722</v>
      </c>
      <c r="G112" s="33">
        <f>SUM('Posição da carteira - mensal'!L40,'Posição da carteira - mensal'!N40)/B112</f>
        <v>0.004925761938526835</v>
      </c>
      <c r="H112" s="33">
        <f>SUM('Posição da carteira - mensal'!E40,'Posição da carteira - mensal'!I40,'Posição da carteira - mensal'!J40,'Posição da carteira - mensal'!K40,'Posição da carteira - mensal'!AA40,'Posição da carteira - mensal'!AB40)/B112</f>
        <v>0.012647363014514478</v>
      </c>
      <c r="AS112" s="12"/>
    </row>
    <row r="113" spans="1:45" s="11" customFormat="1" ht="12.75">
      <c r="A113" s="28">
        <v>41395</v>
      </c>
      <c r="B113" s="29">
        <f>SUM('Posição da carteira - mensal'!B41,'Posição da carteira - mensal'!C41,'Posição da carteira - mensal'!E41,'Posição da carteira - mensal'!F41,'Posição da carteira - mensal'!G41,'Posição da carteira - mensal'!H41,'Posição da carteira - mensal'!I41,'Posição da carteira - mensal'!J41,'Posição da carteira - mensal'!K41,'Posição da carteira - mensal'!L41,'Posição da carteira - mensal'!M41,'Posição da carteira - mensal'!N41,'Posição da carteira - mensal'!O41,'Posição da carteira - mensal'!P41,'Posição da carteira - mensal'!Q41,'Posição da carteira - mensal'!S41,'Posição da carteira - mensal'!T41,'Posição da carteira - mensal'!AB41,'Posição da carteira - mensal'!AC41,'Posição da carteira - mensal'!AA41)</f>
        <v>385.96612059946534</v>
      </c>
      <c r="C113" s="33">
        <f>SUM('Posição da carteira - mensal'!F41,'Posição da carteira - mensal'!P41,'Posição da carteira - mensal'!G41,'Posição da carteira - mensal'!H41,'Posição da carteira - mensal'!M41,'Posição da carteira - mensal'!O41,'Posição da carteira - mensal'!AC41)/B113</f>
        <v>0.3853786797034487</v>
      </c>
      <c r="D113" s="33">
        <v>0</v>
      </c>
      <c r="E113" s="33">
        <f>SUM('Posição da carteira - mensal'!B41,'Posição da carteira - mensal'!C41)/B113</f>
        <v>0.5832775598033171</v>
      </c>
      <c r="F113" s="33">
        <f>SUM('Posição da carteira - mensal'!Q41,'Posição da carteira - mensal'!S41,'Posição da carteira - mensal'!T41)/B113</f>
        <v>0.009663071566757338</v>
      </c>
      <c r="G113" s="33">
        <f>SUM('Posição da carteira - mensal'!L41,'Posição da carteira - mensal'!N41)/B113</f>
        <v>0.0059066946883537955</v>
      </c>
      <c r="H113" s="33">
        <f>SUM('Posição da carteira - mensal'!E41,'Posição da carteira - mensal'!I41,'Posição da carteira - mensal'!J41,'Posição da carteira - mensal'!K41,'Posição da carteira - mensal'!AA41,'Posição da carteira - mensal'!AB41)/B113</f>
        <v>0.015773994238122976</v>
      </c>
      <c r="AS113" s="12"/>
    </row>
    <row r="114" spans="1:45" s="11" customFormat="1" ht="12.75">
      <c r="A114" s="28">
        <v>41426</v>
      </c>
      <c r="B114" s="29">
        <f>SUM('Posição da carteira - mensal'!B42,'Posição da carteira - mensal'!C42,'Posição da carteira - mensal'!E42,'Posição da carteira - mensal'!F42,'Posição da carteira - mensal'!G42,'Posição da carteira - mensal'!H42,'Posição da carteira - mensal'!I42,'Posição da carteira - mensal'!J42,'Posição da carteira - mensal'!K42,'Posição da carteira - mensal'!L42,'Posição da carteira - mensal'!M42,'Posição da carteira - mensal'!N42,'Posição da carteira - mensal'!O42,'Posição da carteira - mensal'!P42,'Posição da carteira - mensal'!Q42,'Posição da carteira - mensal'!S42,'Posição da carteira - mensal'!T42,'Posição da carteira - mensal'!AB42,'Posição da carteira - mensal'!AC42,'Posição da carteira - mensal'!AA42)</f>
        <v>356.16278499232715</v>
      </c>
      <c r="C114" s="33">
        <f>SUM('Posição da carteira - mensal'!F42,'Posição da carteira - mensal'!P42,'Posição da carteira - mensal'!G42,'Posição da carteira - mensal'!H42,'Posição da carteira - mensal'!M42,'Posição da carteira - mensal'!O42,'Posição da carteira - mensal'!AC42)/B114</f>
        <v>0.4140289315037952</v>
      </c>
      <c r="D114" s="33">
        <v>0</v>
      </c>
      <c r="E114" s="33">
        <f>SUM('Posição da carteira - mensal'!B42,'Posição da carteira - mensal'!C42)/B114</f>
        <v>0.5494162364824114</v>
      </c>
      <c r="F114" s="33">
        <f>SUM('Posição da carteira - mensal'!Q42,'Posição da carteira - mensal'!S42,'Posição da carteira - mensal'!T42)/B114</f>
        <v>0.013502954150378055</v>
      </c>
      <c r="G114" s="33">
        <f>SUM('Posição da carteira - mensal'!L42,'Posição da carteira - mensal'!N42)/B114</f>
        <v>0.0062543467111984595</v>
      </c>
      <c r="H114" s="33">
        <f>SUM('Posição da carteira - mensal'!E42,'Posição da carteira - mensal'!I42,'Posição da carteira - mensal'!J42,'Posição da carteira - mensal'!K42,'Posição da carteira - mensal'!AA42,'Posição da carteira - mensal'!AB42)/B114</f>
        <v>0.01679753115221701</v>
      </c>
      <c r="AS114" s="12"/>
    </row>
    <row r="115" spans="1:8" ht="12.75">
      <c r="A115" s="28">
        <v>41456</v>
      </c>
      <c r="B115" s="29">
        <f>SUM('Posição da carteira - mensal'!B43,'Posição da carteira - mensal'!C43,'Posição da carteira - mensal'!E43,'Posição da carteira - mensal'!F43,'Posição da carteira - mensal'!G43,'Posição da carteira - mensal'!H43,'Posição da carteira - mensal'!I43,'Posição da carteira - mensal'!J43,'Posição da carteira - mensal'!K43,'Posição da carteira - mensal'!L43,'Posição da carteira - mensal'!M43,'Posição da carteira - mensal'!N43,'Posição da carteira - mensal'!O43,'Posição da carteira - mensal'!P43,'Posição da carteira - mensal'!Q43,'Posição da carteira - mensal'!S43,'Posição da carteira - mensal'!T43,'Posição da carteira - mensal'!AB43,'Posição da carteira - mensal'!AC43,'Posição da carteira - mensal'!AA43)</f>
        <v>353.1763338169672</v>
      </c>
      <c r="C115" s="33">
        <f>SUM('Posição da carteira - mensal'!F43,'Posição da carteira - mensal'!P43,'Posição da carteira - mensal'!G43,'Posição da carteira - mensal'!H43,'Posição da carteira - mensal'!M43,'Posição da carteira - mensal'!O43,'Posição da carteira - mensal'!AC43)/B115</f>
        <v>0.4164709888060451</v>
      </c>
      <c r="D115" s="33">
        <v>0</v>
      </c>
      <c r="E115" s="33">
        <f>SUM('Posição da carteira - mensal'!B43,'Posição da carteira - mensal'!C43)/B115</f>
        <v>0.5481112293073421</v>
      </c>
      <c r="F115" s="33">
        <f>SUM('Posição da carteira - mensal'!Q43,'Posição da carteira - mensal'!S43,'Posição da carteira - mensal'!T43)/B115</f>
        <v>0.01362752146404996</v>
      </c>
      <c r="G115" s="33">
        <f>SUM('Posição da carteira - mensal'!L43,'Posição da carteira - mensal'!N43)/B115</f>
        <v>0.007072965775292753</v>
      </c>
      <c r="H115" s="33">
        <f>SUM('Posição da carteira - mensal'!E43,'Posição da carteira - mensal'!I43,'Posição da carteira - mensal'!J43,'Posição da carteira - mensal'!K43,'Posição da carteira - mensal'!AA43,'Posição da carteira - mensal'!AB43)/B115</f>
        <v>0.014717294647270304</v>
      </c>
    </row>
    <row r="116" spans="1:8" ht="12.75">
      <c r="A116" s="28">
        <v>41487</v>
      </c>
      <c r="B116" s="29">
        <f>SUM('Posição da carteira - mensal'!B44,'Posição da carteira - mensal'!C44,'Posição da carteira - mensal'!E44,'Posição da carteira - mensal'!F44,'Posição da carteira - mensal'!G44,'Posição da carteira - mensal'!H44,'Posição da carteira - mensal'!I44,'Posição da carteira - mensal'!J44,'Posição da carteira - mensal'!K44,'Posição da carteira - mensal'!L44,'Posição da carteira - mensal'!M44,'Posição da carteira - mensal'!N44,'Posição da carteira - mensal'!O44,'Posição da carteira - mensal'!P44,'Posição da carteira - mensal'!Q44,'Posição da carteira - mensal'!S44,'Posição da carteira - mensal'!T44,'Posição da carteira - mensal'!AB44,'Posição da carteira - mensal'!AC44,'Posição da carteira - mensal'!AA44)</f>
        <v>363.7395091679662</v>
      </c>
      <c r="C116" s="33">
        <f>SUM('Posição da carteira - mensal'!F44,'Posição da carteira - mensal'!P44,'Posição da carteira - mensal'!G44,'Posição da carteira - mensal'!H44,'Posição da carteira - mensal'!M44,'Posição da carteira - mensal'!O44,'Posição da carteira - mensal'!AC44)/B116</f>
        <v>0.41668008913666343</v>
      </c>
      <c r="D116" s="33">
        <v>0</v>
      </c>
      <c r="E116" s="33">
        <f>SUM('Posição da carteira - mensal'!B44,'Posição da carteira - mensal'!C44)/B116</f>
        <v>0.5503950106065751</v>
      </c>
      <c r="F116" s="33">
        <f>SUM('Posição da carteira - mensal'!Q44,'Posição da carteira - mensal'!S44,'Posição da carteira - mensal'!T44)/B116</f>
        <v>0.01181814794611103</v>
      </c>
      <c r="G116" s="33">
        <f>SUM('Posição da carteira - mensal'!L44,'Posição da carteira - mensal'!N44)/B116</f>
        <v>0.006662461219598117</v>
      </c>
      <c r="H116" s="33">
        <f>SUM('Posição da carteira - mensal'!E44,'Posição da carteira - mensal'!I44,'Posição da carteira - mensal'!J44,'Posição da carteira - mensal'!K44,'Posição da carteira - mensal'!AA44,'Posição da carteira - mensal'!AB44)/B116</f>
        <v>0.014444291091052523</v>
      </c>
    </row>
    <row r="117" spans="1:8" ht="12.75">
      <c r="A117" s="28">
        <v>41518</v>
      </c>
      <c r="B117" s="29">
        <f>SUM('Posição da carteira - mensal'!B45,'Posição da carteira - mensal'!C45,'Posição da carteira - mensal'!E45,'Posição da carteira - mensal'!F45,'Posição da carteira - mensal'!G45,'Posição da carteira - mensal'!H45,'Posição da carteira - mensal'!I45,'Posição da carteira - mensal'!J45,'Posição da carteira - mensal'!K45,'Posição da carteira - mensal'!L45,'Posição da carteira - mensal'!M45,'Posição da carteira - mensal'!N45,'Posição da carteira - mensal'!O45,'Posição da carteira - mensal'!P45,'Posição da carteira - mensal'!Q45,'Posição da carteira - mensal'!S45,'Posição da carteira - mensal'!T45,'Posição da carteira - mensal'!AB45,'Posição da carteira - mensal'!AC45,'Posição da carteira - mensal'!AA45)</f>
        <v>387.0592456152466</v>
      </c>
      <c r="C117" s="33">
        <f>SUM('Posição da carteira - mensal'!F45,'Posição da carteira - mensal'!P45,'Posição da carteira - mensal'!G45,'Posição da carteira - mensal'!H45,'Posição da carteira - mensal'!M45,'Posição da carteira - mensal'!O45,'Posição da carteira - mensal'!AC45)/B117</f>
        <v>0.4166180141145885</v>
      </c>
      <c r="D117" s="33">
        <v>0</v>
      </c>
      <c r="E117" s="33">
        <f>SUM('Posição da carteira - mensal'!B45,'Posição da carteira - mensal'!C45)/B117</f>
        <v>0.5504635753900599</v>
      </c>
      <c r="F117" s="33">
        <f>SUM('Posição da carteira - mensal'!Q45,'Posição da carteira - mensal'!S45,'Posição da carteira - mensal'!T45)/B117</f>
        <v>0.0118158184945446</v>
      </c>
      <c r="G117" s="33">
        <f>SUM('Posição da carteira - mensal'!L45,'Posição da carteira - mensal'!N45)/B117</f>
        <v>0.006661147995157618</v>
      </c>
      <c r="H117" s="33">
        <f>SUM('Posição da carteira - mensal'!E45,'Posição da carteira - mensal'!I45,'Posição da carteira - mensal'!J45,'Posição da carteira - mensal'!K45,'Posição da carteira - mensal'!AA45,'Posição da carteira - mensal'!AB45)/B117</f>
        <v>0.014441444005649512</v>
      </c>
    </row>
    <row r="118" spans="1:8" ht="12.75">
      <c r="A118" s="28">
        <v>41548</v>
      </c>
      <c r="B118" s="29">
        <f>SUM('Posição da carteira - mensal'!B46,'Posição da carteira - mensal'!C46,'Posição da carteira - mensal'!E46,'Posição da carteira - mensal'!F46,'Posição da carteira - mensal'!G46,'Posição da carteira - mensal'!H46,'Posição da carteira - mensal'!I46,'Posição da carteira - mensal'!J46,'Posição da carteira - mensal'!K46,'Posição da carteira - mensal'!L46,'Posição da carteira - mensal'!M46,'Posição da carteira - mensal'!N46,'Posição da carteira - mensal'!O46,'Posição da carteira - mensal'!P46,'Posição da carteira - mensal'!Q46,'Posição da carteira - mensal'!S46,'Posição da carteira - mensal'!T46,'Posição da carteira - mensal'!AB46,'Posição da carteira - mensal'!AC46,'Posição da carteira - mensal'!AA46)</f>
        <v>402.33818165531636</v>
      </c>
      <c r="C118" s="33">
        <f>SUM('Posição da carteira - mensal'!F46,'Posição da carteira - mensal'!P46,'Posição da carteira - mensal'!G46,'Posição da carteira - mensal'!H46,'Posição da carteira - mensal'!M46,'Posição da carteira - mensal'!O46,'Posição da carteira - mensal'!AC46)/B118</f>
        <v>0.4115827958872875</v>
      </c>
      <c r="D118" s="33">
        <v>0</v>
      </c>
      <c r="E118" s="33">
        <f>SUM('Posição da carteira - mensal'!B46,'Posição da carteira - mensal'!C46)/B118</f>
        <v>0.5555052696857979</v>
      </c>
      <c r="F118" s="33">
        <f>SUM('Posição da carteira - mensal'!Q46,'Posição da carteira - mensal'!S46,'Posição da carteira - mensal'!T46)/B118</f>
        <v>0.012014335432470165</v>
      </c>
      <c r="G118" s="33">
        <f>SUM('Posição da carteira - mensal'!L46,'Posição da carteira - mensal'!N46)/B118</f>
        <v>0.007188614718872543</v>
      </c>
      <c r="H118" s="33">
        <f>SUM('Posição da carteira - mensal'!E46,'Posição da carteira - mensal'!I46,'Posição da carteira - mensal'!J46,'Posição da carteira - mensal'!K46,'Posição da carteira - mensal'!AA46,'Posição da carteira - mensal'!AB46)/B118</f>
        <v>0.013708984275572074</v>
      </c>
    </row>
    <row r="119" spans="1:8" ht="12.75">
      <c r="A119" s="28">
        <v>41579</v>
      </c>
      <c r="B119" s="29">
        <f>SUM('Posição da carteira - mensal'!B47,'Posição da carteira - mensal'!C47,'Posição da carteira - mensal'!E47,'Posição da carteira - mensal'!F47,'Posição da carteira - mensal'!G47,'Posição da carteira - mensal'!H47,'Posição da carteira - mensal'!I47,'Posição da carteira - mensal'!J47,'Posição da carteira - mensal'!K47,'Posição da carteira - mensal'!L47,'Posição da carteira - mensal'!M47,'Posição da carteira - mensal'!N47,'Posição da carteira - mensal'!O47,'Posição da carteira - mensal'!P47,'Posição da carteira - mensal'!Q47,'Posição da carteira - mensal'!S47,'Posição da carteira - mensal'!T47,'Posição da carteira - mensal'!AB47,'Posição da carteira - mensal'!AC47,'Posição da carteira - mensal'!AA47)</f>
        <v>377.49111301561356</v>
      </c>
      <c r="C119" s="33">
        <f>SUM('Posição da carteira - mensal'!F47,'Posição da carteira - mensal'!P47,'Posição da carteira - mensal'!G47,'Posição da carteira - mensal'!H47,'Posição da carteira - mensal'!M47,'Posição da carteira - mensal'!O47,'Posição da carteira - mensal'!AC47)/B119</f>
        <v>0.4076698431217159</v>
      </c>
      <c r="D119" s="33">
        <v>0</v>
      </c>
      <c r="E119" s="33">
        <f>SUM('Posição da carteira - mensal'!B47,'Posição da carteira - mensal'!C47)/B119</f>
        <v>0.5526583268942108</v>
      </c>
      <c r="F119" s="33">
        <f>SUM('Posição da carteira - mensal'!Q47,'Posição da carteira - mensal'!S47,'Posição da carteira - mensal'!T47)/B119</f>
        <v>0.018581181141209203</v>
      </c>
      <c r="G119" s="33">
        <f>SUM('Posição da carteira - mensal'!L47,'Posição da carteira - mensal'!N47)/B119</f>
        <v>0.007363398068243827</v>
      </c>
      <c r="H119" s="33">
        <f>SUM('Posição da carteira - mensal'!E47,'Posição da carteira - mensal'!I47,'Posição da carteira - mensal'!J47,'Posição da carteira - mensal'!K47,'Posição da carteira - mensal'!AA47,'Posição da carteira - mensal'!AB47)/B119</f>
        <v>0.01372725077462028</v>
      </c>
    </row>
    <row r="120" spans="1:8" ht="12.75">
      <c r="A120" s="28">
        <v>41609</v>
      </c>
      <c r="B120" s="29">
        <f>SUM('Posição da carteira - mensal'!B48,'Posição da carteira - mensal'!C48,'Posição da carteira - mensal'!E48,'Posição da carteira - mensal'!F48,'Posição da carteira - mensal'!G48,'Posição da carteira - mensal'!H48,'Posição da carteira - mensal'!I48,'Posição da carteira - mensal'!J48,'Posição da carteira - mensal'!K48,'Posição da carteira - mensal'!L48,'Posição da carteira - mensal'!M48,'Posição da carteira - mensal'!N48,'Posição da carteira - mensal'!O48,'Posição da carteira - mensal'!P48,'Posição da carteira - mensal'!Q48,'Posição da carteira - mensal'!S48,'Posição da carteira - mensal'!T48,'Posição da carteira - mensal'!AB48,'Posição da carteira - mensal'!AC48,'Posição da carteira - mensal'!AA48)</f>
        <v>371.5938068338599</v>
      </c>
      <c r="C120" s="33">
        <f>SUM('Posição da carteira - mensal'!F48,'Posição da carteira - mensal'!P48,'Posição da carteira - mensal'!G48,'Posição da carteira - mensal'!H48,'Posição da carteira - mensal'!M48,'Posição da carteira - mensal'!O48,'Posição da carteira - mensal'!AC48)/B120</f>
        <v>0.39397298801985386</v>
      </c>
      <c r="D120" s="33">
        <v>0</v>
      </c>
      <c r="E120" s="33">
        <f>SUM('Posição da carteira - mensal'!B48,'Posição da carteira - mensal'!C48)/B120</f>
        <v>0.5474399510587856</v>
      </c>
      <c r="F120" s="33">
        <f>SUM('Posição da carteira - mensal'!Q48,'Posição da carteira - mensal'!S48,'Posição da carteira - mensal'!T48)/B120</f>
        <v>0.016942262868282067</v>
      </c>
      <c r="G120" s="33">
        <f>SUM('Posição da carteira - mensal'!L48,'Posição da carteira - mensal'!N48)/B120</f>
        <v>0.00722667713887922</v>
      </c>
      <c r="H120" s="33">
        <f>SUM('Posição da carteira - mensal'!E48,'Posição da carteira - mensal'!I48,'Posição da carteira - mensal'!J48,'Posição da carteira - mensal'!K48,'Posição da carteira - mensal'!AA48,'Posição da carteira - mensal'!AB48)/B120</f>
        <v>0.034418120914198894</v>
      </c>
    </row>
    <row r="121" spans="1:8" ht="12.75">
      <c r="A121" s="28">
        <v>41640</v>
      </c>
      <c r="B121" s="29">
        <f>SUM('Posição da carteira - mensal'!B49,'Posição da carteira - mensal'!C49,'Posição da carteira - mensal'!E49,'Posição da carteira - mensal'!F49,'Posição da carteira - mensal'!G49,'Posição da carteira - mensal'!H49,'Posição da carteira - mensal'!I49,'Posição da carteira - mensal'!J49,'Posição da carteira - mensal'!K49,'Posição da carteira - mensal'!L49,'Posição da carteira - mensal'!M49,'Posição da carteira - mensal'!N49,'Posição da carteira - mensal'!O49,'Posição da carteira - mensal'!P49,'Posição da carteira - mensal'!Q49,'Posição da carteira - mensal'!S49,'Posição da carteira - mensal'!T49,'Posição da carteira - mensal'!AB49,'Posição da carteira - mensal'!AC49,'Posição da carteira - mensal'!AA49)</f>
        <v>344.7596497481762</v>
      </c>
      <c r="C121" s="33">
        <f>SUM('Posição da carteira - mensal'!F49,'Posição da carteira - mensal'!P49,'Posição da carteira - mensal'!G49,'Posição da carteira - mensal'!H49,'Posição da carteira - mensal'!M49,'Posição da carteira - mensal'!O49,'Posição da carteira - mensal'!AC49)/B121</f>
        <v>0.41637635754304053</v>
      </c>
      <c r="D121" s="33">
        <v>0</v>
      </c>
      <c r="E121" s="33">
        <f>SUM('Posição da carteira - mensal'!B49,'Posição da carteira - mensal'!C49)/B121</f>
        <v>0.5199828299479093</v>
      </c>
      <c r="F121" s="33">
        <f>SUM('Posição da carteira - mensal'!Q49,'Posição da carteira - mensal'!S49,'Posição da carteira - mensal'!T49)/B121</f>
        <v>0.019757236854497498</v>
      </c>
      <c r="G121" s="33">
        <f>SUM('Posição da carteira - mensal'!L49,'Posição da carteira - mensal'!N49)/B121</f>
        <v>0.007700217087962541</v>
      </c>
      <c r="H121" s="33">
        <f>SUM('Posição da carteira - mensal'!E49,'Posição da carteira - mensal'!I49,'Posição da carteira - mensal'!J49,'Posição da carteira - mensal'!K49,'Posição da carteira - mensal'!AA49,'Posição da carteira - mensal'!AB49)/B121</f>
        <v>0.036183358566590246</v>
      </c>
    </row>
    <row r="122" spans="1:8" ht="12.75">
      <c r="A122" s="28">
        <v>41671</v>
      </c>
      <c r="B122" s="29">
        <f>SUM('Posição da carteira - mensal'!B50,'Posição da carteira - mensal'!C50,'Posição da carteira - mensal'!E50,'Posição da carteira - mensal'!F50,'Posição da carteira - mensal'!G50,'Posição da carteira - mensal'!H50,'Posição da carteira - mensal'!I50,'Posição da carteira - mensal'!J50,'Posição da carteira - mensal'!K50,'Posição da carteira - mensal'!L50,'Posição da carteira - mensal'!M50,'Posição da carteira - mensal'!N50,'Posição da carteira - mensal'!O50,'Posição da carteira - mensal'!P50,'Posição da carteira - mensal'!Q50,'Posição da carteira - mensal'!S50,'Posição da carteira - mensal'!T50,'Posição da carteira - mensal'!AB50,'Posição da carteira - mensal'!AC50,'Posição da carteira - mensal'!AA50)</f>
        <v>364.8355125696408</v>
      </c>
      <c r="C122" s="33">
        <f>SUM('Posição da carteira - mensal'!F50,'Posição da carteira - mensal'!P50,'Posição da carteira - mensal'!G50,'Posição da carteira - mensal'!H50,'Posição da carteira - mensal'!M50,'Posição da carteira - mensal'!O50,'Posição da carteira - mensal'!AC50)/B122</f>
        <v>0.42757275895207314</v>
      </c>
      <c r="D122" s="33">
        <v>0</v>
      </c>
      <c r="E122" s="33">
        <f>SUM('Posição da carteira - mensal'!B50,'Posição da carteira - mensal'!C50)/B122</f>
        <v>0.5115026393388832</v>
      </c>
      <c r="F122" s="33">
        <f>SUM('Posição da carteira - mensal'!Q50,'Posição da carteira - mensal'!S50,'Posição da carteira - mensal'!T50)/B122</f>
        <v>0.016559274973702028</v>
      </c>
      <c r="G122" s="33">
        <f>SUM('Posição da carteira - mensal'!L50,'Posição da carteira - mensal'!N50)/B122</f>
        <v>0.007797561391151743</v>
      </c>
      <c r="H122" s="33">
        <f>SUM('Posição da carteira - mensal'!E50,'Posição da carteira - mensal'!I50,'Posição da carteira - mensal'!J50,'Posição da carteira - mensal'!K50,'Posição da carteira - mensal'!AA50,'Posição da carteira - mensal'!AB50)/B122</f>
        <v>0.03656776534419003</v>
      </c>
    </row>
    <row r="123" spans="1:8" ht="12.75">
      <c r="A123" s="28">
        <v>41699</v>
      </c>
      <c r="B123" s="29">
        <f>SUM('Posição da carteira - mensal'!B51,'Posição da carteira - mensal'!C51,'Posição da carteira - mensal'!E51,'Posição da carteira - mensal'!F51,'Posição da carteira - mensal'!G51,'Posição da carteira - mensal'!H51,'Posição da carteira - mensal'!I51,'Posição da carteira - mensal'!J51,'Posição da carteira - mensal'!K51,'Posição da carteira - mensal'!L51,'Posição da carteira - mensal'!M51,'Posição da carteira - mensal'!N51,'Posição da carteira - mensal'!O51,'Posição da carteira - mensal'!P51,'Posição da carteira - mensal'!Q51,'Posição da carteira - mensal'!S51,'Posição da carteira - mensal'!T51,'Posição da carteira - mensal'!AB51,'Posição da carteira - mensal'!AC51,'Posição da carteira - mensal'!AA51)</f>
        <v>398.42283163809094</v>
      </c>
      <c r="C123" s="33">
        <f>SUM('Posição da carteira - mensal'!F51,'Posição da carteira - mensal'!P51,'Posição da carteira - mensal'!G51,'Posição da carteira - mensal'!H51,'Posição da carteira - mensal'!M51,'Posição da carteira - mensal'!O51,'Posição da carteira - mensal'!AC51)/B123</f>
        <v>0.41577067321551303</v>
      </c>
      <c r="D123" s="33">
        <v>0</v>
      </c>
      <c r="E123" s="33">
        <f>SUM('Posição da carteira - mensal'!B51,'Posição da carteira - mensal'!C51)/B123</f>
        <v>0.5195420062132997</v>
      </c>
      <c r="F123" s="33">
        <f>SUM('Posição da carteira - mensal'!Q51,'Posição da carteira - mensal'!S51,'Posição da carteira - mensal'!T51)/B123</f>
        <v>0.021472978601553852</v>
      </c>
      <c r="G123" s="33">
        <f>SUM('Posição da carteira - mensal'!L51,'Posição da carteira - mensal'!N51)/B123</f>
        <v>0.007229719049527585</v>
      </c>
      <c r="H123" s="33">
        <f>SUM('Posição da carteira - mensal'!E51,'Posição da carteira - mensal'!I51,'Posição da carteira - mensal'!J51,'Posição da carteira - mensal'!K51,'Posição da carteira - mensal'!AA51,'Posição da carteira - mensal'!AB51)/B123</f>
        <v>0.0359846229201061</v>
      </c>
    </row>
    <row r="124" spans="1:8" ht="12.75">
      <c r="A124" s="28">
        <v>41730</v>
      </c>
      <c r="B124" s="29">
        <f>SUM('Posição da carteira - mensal'!B52,'Posição da carteira - mensal'!C52,'Posição da carteira - mensal'!E52,'Posição da carteira - mensal'!F52,'Posição da carteira - mensal'!G52,'Posição da carteira - mensal'!H52,'Posição da carteira - mensal'!I52,'Posição da carteira - mensal'!J52,'Posição da carteira - mensal'!K52,'Posição da carteira - mensal'!L52,'Posição da carteira - mensal'!M52,'Posição da carteira - mensal'!N52,'Posição da carteira - mensal'!O52,'Posição da carteira - mensal'!P52,'Posição da carteira - mensal'!Q52,'Posição da carteira - mensal'!S52,'Posição da carteira - mensal'!T52,'Posição da carteira - mensal'!AB52,'Posição da carteira - mensal'!AC52,'Posição da carteira - mensal'!AA52)</f>
        <v>414.9738534414132</v>
      </c>
      <c r="C124" s="33">
        <f>SUM('Posição da carteira - mensal'!F52,'Posição da carteira - mensal'!P52,'Posição da carteira - mensal'!G52,'Posição da carteira - mensal'!H52,'Posição da carteira - mensal'!M52,'Posição da carteira - mensal'!O52,'Posição da carteira - mensal'!AC52)/B124</f>
        <v>0.41672629532318417</v>
      </c>
      <c r="D124" s="33">
        <v>0</v>
      </c>
      <c r="E124" s="33">
        <f>SUM('Posição da carteira - mensal'!B52,'Posição da carteira - mensal'!C52)/B124</f>
        <v>0.5122835273961915</v>
      </c>
      <c r="F124" s="33">
        <f>SUM('Posição da carteira - mensal'!Q52,'Posição da carteira - mensal'!S52,'Posição da carteira - mensal'!T52)/B124</f>
        <v>0.029024715267572374</v>
      </c>
      <c r="G124" s="33">
        <f>SUM('Posição da carteira - mensal'!L52,'Posição da carteira - mensal'!N52)/B124</f>
        <v>0.007473970908712185</v>
      </c>
      <c r="H124" s="33">
        <f>SUM('Posição da carteira - mensal'!E52,'Posição da carteira - mensal'!I52,'Posição da carteira - mensal'!J52,'Posição da carteira - mensal'!K52,'Posição da carteira - mensal'!AA52,'Posição da carteira - mensal'!AB52)/B124</f>
        <v>0.03449149110433964</v>
      </c>
    </row>
    <row r="125" spans="1:8" ht="12.75">
      <c r="A125" s="28">
        <v>41760</v>
      </c>
      <c r="B125" s="29">
        <f>SUM('Posição da carteira - mensal'!B53,'Posição da carteira - mensal'!C53,'Posição da carteira - mensal'!E53,'Posição da carteira - mensal'!F53,'Posição da carteira - mensal'!G53,'Posição da carteira - mensal'!H53,'Posição da carteira - mensal'!I53,'Posição da carteira - mensal'!J53,'Posição da carteira - mensal'!K53,'Posição da carteira - mensal'!L53,'Posição da carteira - mensal'!M53,'Posição da carteira - mensal'!N53,'Posição da carteira - mensal'!O53,'Posição da carteira - mensal'!P53,'Posição da carteira - mensal'!Q53,'Posição da carteira - mensal'!S53,'Posição da carteira - mensal'!T53,'Posição da carteira - mensal'!AB53,'Posição da carteira - mensal'!AC53,'Posição da carteira - mensal'!AA53)</f>
        <v>427.2471984100044</v>
      </c>
      <c r="C125" s="33">
        <f>SUM('Posição da carteira - mensal'!F53,'Posição da carteira - mensal'!P53,'Posição da carteira - mensal'!G53,'Posição da carteira - mensal'!H53,'Posição da carteira - mensal'!M53,'Posição da carteira - mensal'!O53,'Posição da carteira - mensal'!AC53)/B125</f>
        <v>0.4092181491258999</v>
      </c>
      <c r="D125" s="33">
        <v>0</v>
      </c>
      <c r="E125" s="33">
        <f>SUM('Posição da carteira - mensal'!B53,'Posição da carteira - mensal'!C53)/B125</f>
        <v>0.5133553558667728</v>
      </c>
      <c r="F125" s="33">
        <f>SUM('Posição da carteira - mensal'!Q53,'Posição da carteira - mensal'!S53,'Posição da carteira - mensal'!T53)/B125</f>
        <v>0.031521316457106624</v>
      </c>
      <c r="G125" s="33">
        <f>SUM('Posição da carteira - mensal'!L53,'Posição da carteira - mensal'!N53)/B125</f>
        <v>0.007427130692757676</v>
      </c>
      <c r="H125" s="33">
        <f>SUM('Posição da carteira - mensal'!E53,'Posição da carteira - mensal'!I53,'Posição da carteira - mensal'!J53,'Posição da carteira - mensal'!K53,'Posição da carteira - mensal'!AA53,'Posição da carteira - mensal'!AB53)/B125</f>
        <v>0.03847804785746321</v>
      </c>
    </row>
    <row r="126" spans="1:8" ht="12.75">
      <c r="A126" s="28">
        <v>41791</v>
      </c>
      <c r="B126" s="29">
        <f>SUM('Posição da carteira - mensal'!B54,'Posição da carteira - mensal'!C54,'Posição da carteira - mensal'!E54,'Posição da carteira - mensal'!F54,'Posição da carteira - mensal'!G54,'Posição da carteira - mensal'!H54,'Posição da carteira - mensal'!I54,'Posição da carteira - mensal'!J54,'Posição da carteira - mensal'!K54,'Posição da carteira - mensal'!L54,'Posição da carteira - mensal'!M54,'Posição da carteira - mensal'!N54,'Posição da carteira - mensal'!O54,'Posição da carteira - mensal'!P54,'Posição da carteira - mensal'!Q54,'Posição da carteira - mensal'!S54,'Posição da carteira - mensal'!T54,'Posição da carteira - mensal'!AB54,'Posição da carteira - mensal'!AC54,'Posição da carteira - mensal'!AA54)</f>
        <v>446.99392748104435</v>
      </c>
      <c r="C126" s="33">
        <f>SUM('Posição da carteira - mensal'!F54,'Posição da carteira - mensal'!P54,'Posição da carteira - mensal'!G54,'Posição da carteira - mensal'!H54,'Posição da carteira - mensal'!M54,'Posição da carteira - mensal'!O54,'Posição da carteira - mensal'!AC54)/B126</f>
        <v>0.4067123683400926</v>
      </c>
      <c r="D126" s="33">
        <v>0</v>
      </c>
      <c r="E126" s="33">
        <f>SUM('Posição da carteira - mensal'!B54,'Posição da carteira - mensal'!C54)/B126</f>
        <v>0.5177952334446243</v>
      </c>
      <c r="F126" s="33">
        <f>SUM('Posição da carteira - mensal'!Q54,'Posição da carteira - mensal'!S54,'Posição da carteira - mensal'!T54)/B126</f>
        <v>0.02970556976363258</v>
      </c>
      <c r="G126" s="33">
        <f>SUM('Posição da carteira - mensal'!L54,'Posição da carteira - mensal'!N54)/B126</f>
        <v>0.007004743888767032</v>
      </c>
      <c r="H126" s="33">
        <f>SUM('Posição da carteira - mensal'!E54,'Posição da carteira - mensal'!I54,'Posição da carteira - mensal'!J54,'Posição da carteira - mensal'!K54,'Posição da carteira - mensal'!AA54,'Posição da carteira - mensal'!AB54)/B126</f>
        <v>0.038782084562883214</v>
      </c>
    </row>
    <row r="127" spans="1:8" ht="12.75">
      <c r="A127" s="28">
        <v>41821</v>
      </c>
      <c r="B127" s="29">
        <f>SUM('Posição da carteira - mensal'!B55,'Posição da carteira - mensal'!C55,'Posição da carteira - mensal'!E55,'Posição da carteira - mensal'!F55,'Posição da carteira - mensal'!G55,'Posição da carteira - mensal'!H55,'Posição da carteira - mensal'!I55,'Posição da carteira - mensal'!J55,'Posição da carteira - mensal'!K55,'Posição da carteira - mensal'!L55,'Posição da carteira - mensal'!M55,'Posição da carteira - mensal'!N55,'Posição da carteira - mensal'!O55,'Posição da carteira - mensal'!P55,'Posição da carteira - mensal'!Q55,'Posição da carteira - mensal'!S55,'Posição da carteira - mensal'!T55,'Posição da carteira - mensal'!AB55,'Posição da carteira - mensal'!AC55,'Posição da carteira - mensal'!AA55)</f>
        <v>446.4941429403722</v>
      </c>
      <c r="C127" s="33">
        <f>SUM('Posição da carteira - mensal'!F55,'Posição da carteira - mensal'!P55,'Posição da carteira - mensal'!G55,'Posição da carteira - mensal'!H55,'Posição da carteira - mensal'!M55,'Posição da carteira - mensal'!O55,'Posição da carteira - mensal'!AC55)/B127</f>
        <v>0.4042294709643513</v>
      </c>
      <c r="D127" s="33">
        <v>0</v>
      </c>
      <c r="E127" s="33">
        <f>SUM('Posição da carteira - mensal'!B55,'Posição da carteira - mensal'!C55)/B127</f>
        <v>0.5187506351780439</v>
      </c>
      <c r="F127" s="33">
        <f>SUM('Posição da carteira - mensal'!Q55,'Posição da carteira - mensal'!S55,'Posição da carteira - mensal'!T55)/B127</f>
        <v>0.03534311589338181</v>
      </c>
      <c r="G127" s="33">
        <f>SUM('Posição da carteira - mensal'!L55,'Posição da carteira - mensal'!N55)/B127</f>
        <v>0.006828830564992493</v>
      </c>
      <c r="H127" s="33">
        <f>SUM('Posição da carteira - mensal'!E55,'Posição da carteira - mensal'!I55,'Posição da carteira - mensal'!J55,'Posição da carteira - mensal'!K55,'Posição da carteira - mensal'!AA55,'Posição da carteira - mensal'!AB55)/B127</f>
        <v>0.0348479473992305</v>
      </c>
    </row>
    <row r="128" spans="1:8" ht="12.75">
      <c r="A128" s="28">
        <v>41852</v>
      </c>
      <c r="B128" s="29">
        <f>SUM('Posição da carteira - mensal'!B56,'Posição da carteira - mensal'!C56,'Posição da carteira - mensal'!E56,'Posição da carteira - mensal'!F56,'Posição da carteira - mensal'!G56,'Posição da carteira - mensal'!H56,'Posição da carteira - mensal'!I56,'Posição da carteira - mensal'!J56,'Posição da carteira - mensal'!K56,'Posição da carteira - mensal'!L56,'Posição da carteira - mensal'!M56,'Posição da carteira - mensal'!N56,'Posição da carteira - mensal'!O56,'Posição da carteira - mensal'!P56,'Posição da carteira - mensal'!Q56,'Posição da carteira - mensal'!S56,'Posição da carteira - mensal'!T56,'Posição da carteira - mensal'!AB56,'Posição da carteira - mensal'!AC56,'Posição da carteira - mensal'!AA56)</f>
        <v>494.44387456197546</v>
      </c>
      <c r="C128" s="33">
        <f>SUM('Posição da carteira - mensal'!F56,'Posição da carteira - mensal'!P56,'Posição da carteira - mensal'!G56,'Posição da carteira - mensal'!H56,'Posição da carteira - mensal'!M56,'Posição da carteira - mensal'!O56,'Posição da carteira - mensal'!AC56)/B128</f>
        <v>0.38249506923932325</v>
      </c>
      <c r="D128" s="33">
        <v>0</v>
      </c>
      <c r="E128" s="33">
        <f>SUM('Posição da carteira - mensal'!B56,'Posição da carteira - mensal'!C56)/B128</f>
        <v>0.52267442034177</v>
      </c>
      <c r="F128" s="33">
        <f>SUM('Posição da carteira - mensal'!Q56,'Posição da carteira - mensal'!S56,'Posição da carteira - mensal'!T56)/B128</f>
        <v>0.05338071012323829</v>
      </c>
      <c r="G128" s="33">
        <f>SUM('Posição da carteira - mensal'!L56,'Posição da carteira - mensal'!N56)/B128</f>
        <v>0.009577141734329619</v>
      </c>
      <c r="H128" s="33">
        <f>SUM('Posição da carteira - mensal'!E56,'Posição da carteira - mensal'!I56,'Posição da carteira - mensal'!J56,'Posição da carteira - mensal'!K56,'Posição da carteira - mensal'!AA56,'Posição da carteira - mensal'!AB56)/B128</f>
        <v>0.0318726585613387</v>
      </c>
    </row>
    <row r="129" spans="1:8" ht="12.75">
      <c r="A129" s="28">
        <v>41883</v>
      </c>
      <c r="B129" s="29">
        <f>SUM('Posição da carteira - mensal'!B57,'Posição da carteira - mensal'!C57,'Posição da carteira - mensal'!E57,'Posição da carteira - mensal'!F57,'Posição da carteira - mensal'!G57,'Posição da carteira - mensal'!H57,'Posição da carteira - mensal'!I57,'Posição da carteira - mensal'!J57,'Posição da carteira - mensal'!K57,'Posição da carteira - mensal'!L57,'Posição da carteira - mensal'!M57,'Posição da carteira - mensal'!N57,'Posição da carteira - mensal'!O57,'Posição da carteira - mensal'!P57,'Posição da carteira - mensal'!Q57,'Posição da carteira - mensal'!S57,'Posição da carteira - mensal'!T57,'Posição da carteira - mensal'!AB57,'Posição da carteira - mensal'!AC57,'Posição da carteira - mensal'!AA57)</f>
        <v>433.29520188168084</v>
      </c>
      <c r="C129" s="33">
        <f>SUM('Posição da carteira - mensal'!F57,'Posição da carteira - mensal'!P57,'Posição da carteira - mensal'!G57,'Posição da carteira - mensal'!H57,'Posição da carteira - mensal'!M57,'Posição da carteira - mensal'!O57,'Posição da carteira - mensal'!AC57)/B129</f>
        <v>0.40880145425456116</v>
      </c>
      <c r="D129" s="33">
        <v>0</v>
      </c>
      <c r="E129" s="33">
        <f>SUM('Posição da carteira - mensal'!B57,'Posição da carteira - mensal'!C57)/B129</f>
        <v>0.4890620199296925</v>
      </c>
      <c r="F129" s="33">
        <f>SUM('Posição da carteira - mensal'!Q57,'Posição da carteira - mensal'!S57,'Posição da carteira - mensal'!T57)/B129</f>
        <v>0.05963912395889028</v>
      </c>
      <c r="G129" s="33">
        <f>SUM('Posição da carteira - mensal'!L57,'Posição da carteira - mensal'!N57)/B129</f>
        <v>0.009914298072838508</v>
      </c>
      <c r="H129" s="33">
        <f>SUM('Posição da carteira - mensal'!E57,'Posição da carteira - mensal'!I57,'Posição da carteira - mensal'!J57,'Posição da carteira - mensal'!K57,'Posição da carteira - mensal'!AA57,'Posição da carteira - mensal'!AB57)/B129</f>
        <v>0.03258310378401778</v>
      </c>
    </row>
    <row r="130" spans="1:8" ht="12.75">
      <c r="A130" s="28">
        <v>41913</v>
      </c>
      <c r="B130" s="29">
        <f>SUM('Posição da carteira - mensal'!B58,'Posição da carteira - mensal'!C58,'Posição da carteira - mensal'!E58,'Posição da carteira - mensal'!F58,'Posição da carteira - mensal'!G58,'Posição da carteira - mensal'!H58,'Posição da carteira - mensal'!I58,'Posição da carteira - mensal'!J58,'Posição da carteira - mensal'!K58,'Posição da carteira - mensal'!L58,'Posição da carteira - mensal'!M58,'Posição da carteira - mensal'!N58,'Posição da carteira - mensal'!O58,'Posição da carteira - mensal'!P58,'Posição da carteira - mensal'!Q58,'Posição da carteira - mensal'!S58,'Posição da carteira - mensal'!T58,'Posição da carteira - mensal'!AB58,'Posição da carteira - mensal'!AC58,'Posição da carteira - mensal'!AA58)</f>
        <v>439.70834715244246</v>
      </c>
      <c r="C130" s="33">
        <f>SUM('Posição da carteira - mensal'!F58,'Posição da carteira - mensal'!P58,'Posição da carteira - mensal'!G58,'Posição da carteira - mensal'!H58,'Posição da carteira - mensal'!M58,'Posição da carteira - mensal'!O58,'Posição da carteira - mensal'!AC58)/B130</f>
        <v>0.41504695556083804</v>
      </c>
      <c r="D130" s="33">
        <v>0</v>
      </c>
      <c r="E130" s="33">
        <f>SUM('Posição da carteira - mensal'!B58,'Posição da carteira - mensal'!C58)/B130</f>
        <v>0.4845236614908256</v>
      </c>
      <c r="F130" s="33">
        <f>SUM('Posição da carteira - mensal'!Q58,'Posição da carteira - mensal'!S58,'Posição da carteira - mensal'!T58)/B130</f>
        <v>0.056790503891193174</v>
      </c>
      <c r="G130" s="33">
        <f>SUM('Posição da carteira - mensal'!L58,'Posição da carteira - mensal'!N58)/B130</f>
        <v>0.009899348307446593</v>
      </c>
      <c r="H130" s="33">
        <f>SUM('Posição da carteira - mensal'!E58,'Posição da carteira - mensal'!I58,'Posição da carteira - mensal'!J58,'Posição da carteira - mensal'!K58,'Posição da carteira - mensal'!AA58,'Posição da carteira - mensal'!AB58)/B130</f>
        <v>0.03373953074969671</v>
      </c>
    </row>
    <row r="131" spans="1:8" ht="12.75">
      <c r="A131" s="28">
        <v>41944</v>
      </c>
      <c r="B131" s="29">
        <f>SUM('Posição da carteira - mensal'!B59,'Posição da carteira - mensal'!C59,'Posição da carteira - mensal'!E59,'Posição da carteira - mensal'!F59,'Posição da carteira - mensal'!G59,'Posição da carteira - mensal'!H59,'Posição da carteira - mensal'!I59,'Posição da carteira - mensal'!J59,'Posição da carteira - mensal'!K59,'Posição da carteira - mensal'!L59,'Posição da carteira - mensal'!M59,'Posição da carteira - mensal'!N59,'Posição da carteira - mensal'!O59,'Posição da carteira - mensal'!P59,'Posição da carteira - mensal'!Q59,'Posição da carteira - mensal'!S59,'Posição da carteira - mensal'!T59,'Posição da carteira - mensal'!AB59,'Posição da carteira - mensal'!AC59,'Posição da carteira - mensal'!AA59)</f>
        <v>430.17197747236435</v>
      </c>
      <c r="C131" s="33">
        <f>SUM('Posição da carteira - mensal'!F59,'Posição da carteira - mensal'!P59,'Posição da carteira - mensal'!G59,'Posição da carteira - mensal'!H59,'Posição da carteira - mensal'!M59,'Posição da carteira - mensal'!O59,'Posição da carteira - mensal'!AC59)/B131</f>
        <v>0.4141584496614686</v>
      </c>
      <c r="D131" s="33">
        <v>0</v>
      </c>
      <c r="E131" s="33">
        <f>SUM('Posição da carteira - mensal'!B59,'Posição da carteira - mensal'!C59)/B131</f>
        <v>0.4770007550805832</v>
      </c>
      <c r="F131" s="33">
        <f>SUM('Posição da carteira - mensal'!Q59,'Posição da carteira - mensal'!S59,'Posição da carteira - mensal'!T59)/B131</f>
        <v>0.06671720914491433</v>
      </c>
      <c r="G131" s="33">
        <f>SUM('Posição da carteira - mensal'!L59,'Posição da carteira - mensal'!N59)/B131</f>
        <v>0.010015041455761604</v>
      </c>
      <c r="H131" s="33">
        <f>SUM('Posição da carteira - mensal'!E59,'Posição da carteira - mensal'!I59,'Posição da carteira - mensal'!J59,'Posição da carteira - mensal'!K59,'Posição da carteira - mensal'!AA59,'Posição da carteira - mensal'!AB59)/B131</f>
        <v>0.03210854465727233</v>
      </c>
    </row>
    <row r="132" spans="1:8" ht="12.75">
      <c r="A132" s="28">
        <v>41974</v>
      </c>
      <c r="B132" s="29">
        <f>SUM('Posição da carteira - mensal'!B60,'Posição da carteira - mensal'!C60,'Posição da carteira - mensal'!E60,'Posição da carteira - mensal'!F60,'Posição da carteira - mensal'!G60,'Posição da carteira - mensal'!H60,'Posição da carteira - mensal'!I60,'Posição da carteira - mensal'!J60,'Posição da carteira - mensal'!K60,'Posição da carteira - mensal'!L60,'Posição da carteira - mensal'!M60,'Posição da carteira - mensal'!N60,'Posição da carteira - mensal'!O60,'Posição da carteira - mensal'!P60,'Posição da carteira - mensal'!Q60,'Posição da carteira - mensal'!S60,'Posição da carteira - mensal'!T60,'Posição da carteira - mensal'!AB60,'Posição da carteira - mensal'!AC60,'Posição da carteira - mensal'!AA60)</f>
        <v>399.0912196423462</v>
      </c>
      <c r="C132" s="33">
        <f>SUM('Posição da carteira - mensal'!F60,'Posição da carteira - mensal'!P60,'Posição da carteira - mensal'!G60,'Posição da carteira - mensal'!H60,'Posição da carteira - mensal'!M60,'Posição da carteira - mensal'!O60,'Posição da carteira - mensal'!AC60)/B132</f>
        <v>0.4028615047620404</v>
      </c>
      <c r="D132" s="33">
        <v>0</v>
      </c>
      <c r="E132" s="33">
        <f>SUM('Posição da carteira - mensal'!B60,'Posição da carteira - mensal'!C60)/B132</f>
        <v>0.45462850162149654</v>
      </c>
      <c r="F132" s="33">
        <f>SUM('Posição da carteira - mensal'!Q60,'Posição da carteira - mensal'!S60,'Posição da carteira - mensal'!T60)/B132</f>
        <v>0.09517627721525157</v>
      </c>
      <c r="G132" s="33">
        <f>SUM('Posição da carteira - mensal'!L60,'Posição da carteira - mensal'!N60)/B132</f>
        <v>0.010579473230247268</v>
      </c>
      <c r="H132" s="33">
        <f>SUM('Posição da carteira - mensal'!E60,'Posição da carteira - mensal'!I60,'Posição da carteira - mensal'!J60,'Posição da carteira - mensal'!K60,'Posição da carteira - mensal'!AA60,'Posição da carteira - mensal'!AB60)/B132</f>
        <v>0.03675424317096417</v>
      </c>
    </row>
    <row r="133" spans="1:8" ht="12.75">
      <c r="A133" s="28">
        <v>42005</v>
      </c>
      <c r="B133" s="29">
        <f>SUM('Posição da carteira - mensal'!B61,'Posição da carteira - mensal'!C61,'Posição da carteira - mensal'!E61,'Posição da carteira - mensal'!F61,'Posição da carteira - mensal'!G61,'Posição da carteira - mensal'!H61,'Posição da carteira - mensal'!I61,'Posição da carteira - mensal'!J61,'Posição da carteira - mensal'!K61,'Posição da carteira - mensal'!L61,'Posição da carteira - mensal'!M61,'Posição da carteira - mensal'!N61,'Posição da carteira - mensal'!O61,'Posição da carteira - mensal'!P61,'Posição da carteira - mensal'!Q61,'Posição da carteira - mensal'!S61,'Posição da carteira - mensal'!T61,'Posição da carteira - mensal'!AB61,'Posição da carteira - mensal'!AC61,'Posição da carteira - mensal'!AA61)</f>
        <v>401.20070904218153</v>
      </c>
      <c r="C133" s="33">
        <f>SUM('Posição da carteira - mensal'!F61,'Posição da carteira - mensal'!P61,'Posição da carteira - mensal'!G61,'Posição da carteira - mensal'!H61,'Posição da carteira - mensal'!M61,'Posição da carteira - mensal'!O61,'Posição da carteira - mensal'!AC61)/B133</f>
        <v>0.4311233505487559</v>
      </c>
      <c r="D133" s="33">
        <v>0</v>
      </c>
      <c r="E133" s="33">
        <f>SUM('Posição da carteira - mensal'!B61,'Posição da carteira - mensal'!C61)/B133</f>
        <v>0.42492592428977993</v>
      </c>
      <c r="F133" s="33">
        <f>SUM('Posição da carteira - mensal'!Q61,'Posição da carteira - mensal'!S61,'Posição da carteira - mensal'!T61)/B133</f>
        <v>0.09425205872259554</v>
      </c>
      <c r="G133" s="33">
        <f>SUM('Posição da carteira - mensal'!L61,'Posição da carteira - mensal'!N61)/B133</f>
        <v>0.01065746403418891</v>
      </c>
      <c r="H133" s="33">
        <f>SUM('Posição da carteira - mensal'!E61,'Posição da carteira - mensal'!I61,'Posição da carteira - mensal'!J61,'Posição da carteira - mensal'!K61,'Posição da carteira - mensal'!AA61,'Posição da carteira - mensal'!AB61)/B133</f>
        <v>0.039041202404679745</v>
      </c>
    </row>
    <row r="134" spans="1:8" ht="12.75">
      <c r="A134" s="28">
        <v>42036</v>
      </c>
      <c r="B134" s="29">
        <f>SUM('Posição da carteira - mensal'!B62,'Posição da carteira - mensal'!C62,'Posição da carteira - mensal'!E62,'Posição da carteira - mensal'!F62,'Posição da carteira - mensal'!G62,'Posição da carteira - mensal'!H62,'Posição da carteira - mensal'!I62,'Posição da carteira - mensal'!J62,'Posição da carteira - mensal'!K62,'Posição da carteira - mensal'!L62,'Posição da carteira - mensal'!M62,'Posição da carteira - mensal'!N62,'Posição da carteira - mensal'!O62,'Posição da carteira - mensal'!P62,'Posição da carteira - mensal'!Q62,'Posição da carteira - mensal'!S62,'Posição da carteira - mensal'!T62,'Posição da carteira - mensal'!AB62,'Posição da carteira - mensal'!AC62,'Posição da carteira - mensal'!AA62)</f>
        <v>404.36887545028145</v>
      </c>
      <c r="C134" s="33">
        <f>SUM('Posição da carteira - mensal'!F62,'Posição da carteira - mensal'!P62,'Posição da carteira - mensal'!G62,'Posição da carteira - mensal'!H62,'Posição da carteira - mensal'!M62,'Posição da carteira - mensal'!O62,'Posição da carteira - mensal'!AC62)/B134</f>
        <v>0.4268125574506356</v>
      </c>
      <c r="D134" s="33">
        <v>0</v>
      </c>
      <c r="E134" s="33">
        <f>SUM('Posição da carteira - mensal'!B62,'Posição da carteira - mensal'!C62)/B134</f>
        <v>0.42215545285081124</v>
      </c>
      <c r="F134" s="33">
        <f>SUM('Posição da carteira - mensal'!Q62,'Posição da carteira - mensal'!S62,'Posição da carteira - mensal'!T62)/B134</f>
        <v>0.09874885819709266</v>
      </c>
      <c r="G134" s="33">
        <f>SUM('Posição da carteira - mensal'!L62,'Posição da carteira - mensal'!N62)/B134</f>
        <v>0.009820560514488092</v>
      </c>
      <c r="H134" s="33">
        <f>SUM('Posição da carteira - mensal'!E62,'Posição da carteira - mensal'!I62,'Posição da carteira - mensal'!J62,'Posição da carteira - mensal'!K62,'Posição da carteira - mensal'!AA62,'Posição da carteira - mensal'!AB62)/B134</f>
        <v>0.042462570986972356</v>
      </c>
    </row>
    <row r="135" spans="1:8" ht="12.75">
      <c r="A135" s="28">
        <v>42064</v>
      </c>
      <c r="B135" s="29">
        <f>SUM('Posição da carteira - mensal'!B63,'Posição da carteira - mensal'!C63,'Posição da carteira - mensal'!E63,'Posição da carteira - mensal'!F63,'Posição da carteira - mensal'!G63,'Posição da carteira - mensal'!H63,'Posição da carteira - mensal'!I63,'Posição da carteira - mensal'!J63,'Posição da carteira - mensal'!K63,'Posição da carteira - mensal'!L63,'Posição da carteira - mensal'!M63,'Posição da carteira - mensal'!N63,'Posição da carteira - mensal'!O63,'Posição da carteira - mensal'!P63,'Posição da carteira - mensal'!Q63,'Posição da carteira - mensal'!S63,'Posição da carteira - mensal'!T63,'Posição da carteira - mensal'!AB63,'Posição da carteira - mensal'!AC63,'Posição da carteira - mensal'!AA63)</f>
        <v>372.64143459850374</v>
      </c>
      <c r="C135" s="33">
        <f>SUM('Posição da carteira - mensal'!F63,'Posição da carteira - mensal'!P63,'Posição da carteira - mensal'!G63,'Posição da carteira - mensal'!H63,'Posição da carteira - mensal'!M63,'Posição da carteira - mensal'!O63,'Posição da carteira - mensal'!AC63)/B135</f>
        <v>0.4252426087753892</v>
      </c>
      <c r="D135" s="33">
        <v>0</v>
      </c>
      <c r="E135" s="33">
        <f>SUM('Posição da carteira - mensal'!B63,'Posição da carteira - mensal'!C63)/B135</f>
        <v>0.4198533456565718</v>
      </c>
      <c r="F135" s="33">
        <f>SUM('Posição da carteira - mensal'!Q63,'Posição da carteira - mensal'!S63,'Posição da carteira - mensal'!T63)/B135</f>
        <v>0.10588007797279707</v>
      </c>
      <c r="G135" s="33">
        <f>SUM('Posição da carteira - mensal'!L63,'Posição da carteira - mensal'!N63)/B135</f>
        <v>0.009536375830268753</v>
      </c>
      <c r="H135" s="33">
        <f>SUM('Posição da carteira - mensal'!E63,'Posição da carteira - mensal'!I63,'Posição da carteira - mensal'!J63,'Posição da carteira - mensal'!K63,'Posição da carteira - mensal'!AA63,'Posição da carteira - mensal'!AB63)/B135</f>
        <v>0.039487591764973136</v>
      </c>
    </row>
    <row r="136" spans="1:8" ht="12.75">
      <c r="A136" s="28">
        <v>42095</v>
      </c>
      <c r="B136" s="29">
        <f>SUM('Posição da carteira - mensal'!B64,'Posição da carteira - mensal'!C64,'Posição da carteira - mensal'!E64,'Posição da carteira - mensal'!F64,'Posição da carteira - mensal'!G64,'Posição da carteira - mensal'!H64,'Posição da carteira - mensal'!I64,'Posição da carteira - mensal'!J64,'Posição da carteira - mensal'!K64,'Posição da carteira - mensal'!L64,'Posição da carteira - mensal'!M64,'Posição da carteira - mensal'!N64,'Posição da carteira - mensal'!O64,'Posição da carteira - mensal'!P64,'Posição da carteira - mensal'!Q64,'Posição da carteira - mensal'!S64,'Posição da carteira - mensal'!T64,'Posição da carteira - mensal'!AB64,'Posição da carteira - mensal'!AC64,'Posição da carteira - mensal'!AA64)</f>
        <v>416.9860391795831</v>
      </c>
      <c r="C136" s="33">
        <f>SUM('Posição da carteira - mensal'!F64,'Posição da carteira - mensal'!P64,'Posição da carteira - mensal'!G64,'Posição da carteira - mensal'!H64,'Posição da carteira - mensal'!M64,'Posição da carteira - mensal'!O64,'Posição da carteira - mensal'!AC64)/B136</f>
        <v>0.41464266318366666</v>
      </c>
      <c r="D136" s="33">
        <v>0</v>
      </c>
      <c r="E136" s="33">
        <f>SUM('Posição da carteira - mensal'!B64,'Posição da carteira - mensal'!C64)/B136</f>
        <v>0.4343438839080419</v>
      </c>
      <c r="F136" s="33">
        <f>SUM('Posição da carteira - mensal'!Q64,'Posição da carteira - mensal'!S64,'Posição da carteira - mensal'!T64)/B136</f>
        <v>0.10080431187243913</v>
      </c>
      <c r="G136" s="33">
        <f>SUM('Posição da carteira - mensal'!L64,'Posição da carteira - mensal'!N64)/B136</f>
        <v>0.009213686278627481</v>
      </c>
      <c r="H136" s="33">
        <f>SUM('Posição da carteira - mensal'!E64,'Posição da carteira - mensal'!I64,'Posição da carteira - mensal'!J64,'Posição da carteira - mensal'!K64,'Posição da carteira - mensal'!AA64,'Posição da carteira - mensal'!AB64)/B136</f>
        <v>0.04099545475722482</v>
      </c>
    </row>
    <row r="137" spans="1:8" ht="12.75">
      <c r="A137" s="28">
        <v>42125</v>
      </c>
      <c r="B137" s="29">
        <f>SUM('Posição da carteira - mensal'!B65,'Posição da carteira - mensal'!C65,'Posição da carteira - mensal'!E65,'Posição da carteira - mensal'!F65,'Posição da carteira - mensal'!G65,'Posição da carteira - mensal'!H65,'Posição da carteira - mensal'!I65,'Posição da carteira - mensal'!J65,'Posição da carteira - mensal'!K65,'Posição da carteira - mensal'!L65,'Posição da carteira - mensal'!M65,'Posição da carteira - mensal'!N65,'Posição da carteira - mensal'!O65,'Posição da carteira - mensal'!P65,'Posição da carteira - mensal'!Q65,'Posição da carteira - mensal'!S65,'Posição da carteira - mensal'!T65,'Posição da carteira - mensal'!AB65,'Posição da carteira - mensal'!AC65,'Posição da carteira - mensal'!AA65)</f>
        <v>391.89837118252166</v>
      </c>
      <c r="C137" s="33">
        <f>SUM('Posição da carteira - mensal'!F65,'Posição da carteira - mensal'!P65,'Posição da carteira - mensal'!G65,'Posição da carteira - mensal'!H65,'Posição da carteira - mensal'!M65,'Posição da carteira - mensal'!O65,'Posição da carteira - mensal'!AC65)/B137</f>
        <v>0.41171619371866985</v>
      </c>
      <c r="D137" s="33">
        <v>0</v>
      </c>
      <c r="E137" s="33">
        <f>SUM('Posição da carteira - mensal'!B65,'Posição da carteira - mensal'!C65)/B137</f>
        <v>0.424349274196778</v>
      </c>
      <c r="F137" s="33">
        <f>SUM('Posição da carteira - mensal'!Q65,'Posição da carteira - mensal'!S65,'Posição da carteira - mensal'!T65)/B137</f>
        <v>0.11222943684070119</v>
      </c>
      <c r="G137" s="33">
        <f>SUM('Posição da carteira - mensal'!L65,'Posição da carteira - mensal'!N65)/B137</f>
        <v>0.009445049261103702</v>
      </c>
      <c r="H137" s="33">
        <f>SUM('Posição da carteira - mensal'!E65,'Posição da carteira - mensal'!I65,'Posição da carteira - mensal'!J65,'Posição da carteira - mensal'!K65,'Posição da carteira - mensal'!AA65,'Posição da carteira - mensal'!AB65)/B137</f>
        <v>0.0422600459827473</v>
      </c>
    </row>
    <row r="138" spans="1:8" ht="12.75">
      <c r="A138" s="28">
        <v>42156</v>
      </c>
      <c r="B138" s="29">
        <f>SUM('Posição da carteira - mensal'!B66,'Posição da carteira - mensal'!C66,'Posição da carteira - mensal'!E66,'Posição da carteira - mensal'!F66,'Posição da carteira - mensal'!G66,'Posição da carteira - mensal'!H66,'Posição da carteira - mensal'!I66,'Posição da carteira - mensal'!J66,'Posição da carteira - mensal'!K66,'Posição da carteira - mensal'!L66,'Posição da carteira - mensal'!M66,'Posição da carteira - mensal'!N66,'Posição da carteira - mensal'!O66,'Posição da carteira - mensal'!P66,'Posição da carteira - mensal'!Q66,'Posição da carteira - mensal'!S66,'Posição da carteira - mensal'!T66,'Posição da carteira - mensal'!AB66,'Posição da carteira - mensal'!AC66,'Posição da carteira - mensal'!AA66)</f>
        <v>401.8854970840586</v>
      </c>
      <c r="C138" s="33">
        <f>SUM('Posição da carteira - mensal'!F66,'Posição da carteira - mensal'!P66,'Posição da carteira - mensal'!G66,'Posição da carteira - mensal'!H66,'Posição da carteira - mensal'!M66,'Posição da carteira - mensal'!O66,'Posição da carteira - mensal'!AC66)/B138</f>
        <v>0.4118518265824215</v>
      </c>
      <c r="D138" s="33">
        <v>0</v>
      </c>
      <c r="E138" s="33">
        <f>SUM('Posição da carteira - mensal'!B66,'Posição da carteira - mensal'!C66)/B138</f>
        <v>0.4265774934533062</v>
      </c>
      <c r="F138" s="33">
        <f>SUM('Posição da carteira - mensal'!Q66,'Posição da carteira - mensal'!S66,'Posição da carteira - mensal'!T66)/B138</f>
        <v>0.11022345919435607</v>
      </c>
      <c r="G138" s="33">
        <f>SUM('Posição da carteira - mensal'!L66,'Posição da carteira - mensal'!N66)/B138</f>
        <v>0.009918017540294446</v>
      </c>
      <c r="H138" s="33">
        <f>SUM('Posição da carteira - mensal'!E66,'Posição da carteira - mensal'!I66,'Posição da carteira - mensal'!J66,'Posição da carteira - mensal'!K66,'Posição da carteira - mensal'!AA66,'Posição da carteira - mensal'!AB66)/B138</f>
        <v>0.04142920322962169</v>
      </c>
    </row>
    <row r="139" spans="1:8" ht="12.75">
      <c r="A139" s="28">
        <v>42186</v>
      </c>
      <c r="B139" s="29">
        <f>SUM('Posição da carteira - mensal'!B67,'Posição da carteira - mensal'!C67,'Posição da carteira - mensal'!E67,'Posição da carteira - mensal'!F67,'Posição da carteira - mensal'!G67,'Posição da carteira - mensal'!H67,'Posição da carteira - mensal'!I67,'Posição da carteira - mensal'!J67,'Posição da carteira - mensal'!K67,'Posição da carteira - mensal'!L67,'Posição da carteira - mensal'!M67,'Posição da carteira - mensal'!N67,'Posição da carteira - mensal'!O67,'Posição da carteira - mensal'!P67,'Posição da carteira - mensal'!Q67,'Posição da carteira - mensal'!S67,'Posição da carteira - mensal'!T67,'Posição da carteira - mensal'!AB67,'Posição da carteira - mensal'!AC67,'Posição da carteira - mensal'!AA67)</f>
        <v>336.36586987625213</v>
      </c>
      <c r="C139" s="33">
        <f>SUM('Posição da carteira - mensal'!F67,'Posição da carteira - mensal'!P67,'Posição da carteira - mensal'!G67,'Posição da carteira - mensal'!H67,'Posição da carteira - mensal'!M67,'Posição da carteira - mensal'!O67,'Posição da carteira - mensal'!AC67)/B139</f>
        <v>0.44534743538984284</v>
      </c>
      <c r="D139" s="33">
        <v>0</v>
      </c>
      <c r="E139" s="33">
        <f>SUM('Posição da carteira - mensal'!B67,'Posição da carteira - mensal'!C67)/B139</f>
        <v>0.4432214850871947</v>
      </c>
      <c r="F139" s="33">
        <f>SUM('Posição da carteira - mensal'!Q67,'Posição da carteira - mensal'!S67,'Posição da carteira - mensal'!T67)/B139</f>
        <v>0.055554525576657736</v>
      </c>
      <c r="G139" s="33">
        <f>SUM('Posição da carteira - mensal'!L67,'Posição da carteira - mensal'!N67)/B139</f>
        <v>0.010150223986751555</v>
      </c>
      <c r="H139" s="33">
        <f>SUM('Posição da carteira - mensal'!E67,'Posição da carteira - mensal'!I67,'Posição da carteira - mensal'!J67,'Posição da carteira - mensal'!K67,'Posição da carteira - mensal'!AA67,'Posição da carteira - mensal'!AB67)/B139</f>
        <v>0.045726329959553356</v>
      </c>
    </row>
    <row r="140" spans="1:8" ht="12.75">
      <c r="A140" s="28">
        <v>42217</v>
      </c>
      <c r="B140" s="29">
        <f>SUM('Posição da carteira - mensal'!B68,'Posição da carteira - mensal'!C68,'Posição da carteira - mensal'!E68,'Posição da carteira - mensal'!F68,'Posição da carteira - mensal'!G68,'Posição da carteira - mensal'!H68,'Posição da carteira - mensal'!I68,'Posição da carteira - mensal'!J68,'Posição da carteira - mensal'!K68,'Posição da carteira - mensal'!L68,'Posição da carteira - mensal'!M68,'Posição da carteira - mensal'!N68,'Posição da carteira - mensal'!O68,'Posição da carteira - mensal'!P68,'Posição da carteira - mensal'!Q68,'Posição da carteira - mensal'!S68,'Posição da carteira - mensal'!T68,'Posição da carteira - mensal'!AB68,'Posição da carteira - mensal'!AC68,'Posição da carteira - mensal'!AA68)</f>
        <v>301.23998000767807</v>
      </c>
      <c r="C140" s="33">
        <f>SUM('Posição da carteira - mensal'!F68,'Posição da carteira - mensal'!P68,'Posição da carteira - mensal'!G68,'Posição da carteira - mensal'!H68,'Posição da carteira - mensal'!M68,'Posição da carteira - mensal'!O68,'Posição da carteira - mensal'!AC68)/B140</f>
        <v>0.46465321757864464</v>
      </c>
      <c r="D140" s="33">
        <v>0</v>
      </c>
      <c r="E140" s="33">
        <f>SUM('Posição da carteira - mensal'!B68,'Posição da carteira - mensal'!C68)/B140</f>
        <v>0.41606690333729823</v>
      </c>
      <c r="F140" s="33">
        <f>SUM('Posição da carteira - mensal'!Q68,'Posição da carteira - mensal'!S68,'Posição da carteira - mensal'!T68)/B140</f>
        <v>0.05640760176576741</v>
      </c>
      <c r="G140" s="33">
        <f>SUM('Posição da carteira - mensal'!L68,'Posição da carteira - mensal'!N68)/B140</f>
        <v>0.010868417840597559</v>
      </c>
      <c r="H140" s="33">
        <f>SUM('Posição da carteira - mensal'!E68,'Posição da carteira - mensal'!I68,'Posição da carteira - mensal'!J68,'Posição da carteira - mensal'!K68,'Posição da carteira - mensal'!AA68,'Posição da carteira - mensal'!AB68)/B140</f>
        <v>0.052003859477692475</v>
      </c>
    </row>
    <row r="141" spans="1:8" ht="12.75">
      <c r="A141" s="28">
        <v>42248</v>
      </c>
      <c r="B141" s="29">
        <f>SUM('Posição da carteira - mensal'!B69,'Posição da carteira - mensal'!C69,'Posição da carteira - mensal'!E69,'Posição da carteira - mensal'!F69,'Posição da carteira - mensal'!G69,'Posição da carteira - mensal'!H69,'Posição da carteira - mensal'!I69,'Posição da carteira - mensal'!J69,'Posição da carteira - mensal'!K69,'Posição da carteira - mensal'!L69,'Posição da carteira - mensal'!M69,'Posição da carteira - mensal'!N69,'Posição da carteira - mensal'!O69,'Posição da carteira - mensal'!P69,'Posição da carteira - mensal'!Q69,'Posição da carteira - mensal'!S69,'Posição da carteira - mensal'!T69,'Posição da carteira - mensal'!AB69,'Posição da carteira - mensal'!AC69,'Posição da carteira - mensal'!AA69)</f>
        <v>269.4395069402703</v>
      </c>
      <c r="C141" s="33">
        <f>SUM('Posição da carteira - mensal'!F69,'Posição da carteira - mensal'!P69,'Posição da carteira - mensal'!G69,'Posição da carteira - mensal'!H69,'Posição da carteira - mensal'!M69,'Posição da carteira - mensal'!O69,'Posição da carteira - mensal'!AC69)/B141</f>
        <v>0.4652834642332412</v>
      </c>
      <c r="D141" s="33">
        <v>0</v>
      </c>
      <c r="E141" s="33">
        <f>SUM('Posição da carteira - mensal'!B69,'Posição da carteira - mensal'!C69)/B141</f>
        <v>0.41160687565269416</v>
      </c>
      <c r="F141" s="33">
        <f>SUM('Posição da carteira - mensal'!Q69,'Posição da carteira - mensal'!S69,'Posição da carteira - mensal'!T69)/B141</f>
        <v>0.06122286035774371</v>
      </c>
      <c r="G141" s="33">
        <f>SUM('Posição da carteira - mensal'!L69,'Posição da carteira - mensal'!N69)/B141</f>
        <v>0.011961306135819996</v>
      </c>
      <c r="H141" s="33">
        <f>SUM('Posição da carteira - mensal'!E69,'Posição da carteira - mensal'!I69,'Posição da carteira - mensal'!J69,'Posição da carteira - mensal'!K69,'Posição da carteira - mensal'!AA69,'Posição da carteira - mensal'!AB69)/B141</f>
        <v>0.04992549362050104</v>
      </c>
    </row>
    <row r="142" spans="1:8" ht="12.75">
      <c r="A142" s="28">
        <v>42278</v>
      </c>
      <c r="B142" s="29">
        <f>SUM('Posição da carteira - mensal'!B70,'Posição da carteira - mensal'!C70,'Posição da carteira - mensal'!E70,'Posição da carteira - mensal'!F70,'Posição da carteira - mensal'!G70,'Posição da carteira - mensal'!H70,'Posição da carteira - mensal'!I70,'Posição da carteira - mensal'!J70,'Posição da carteira - mensal'!K70,'Posição da carteira - mensal'!L70,'Posição da carteira - mensal'!M70,'Posição da carteira - mensal'!N70,'Posição da carteira - mensal'!O70,'Posição da carteira - mensal'!P70,'Posição da carteira - mensal'!Q70,'Posição da carteira - mensal'!S70,'Posição da carteira - mensal'!T70,'Posição da carteira - mensal'!AB70,'Posição da carteira - mensal'!AC70,'Posição da carteira - mensal'!AA70)</f>
        <v>272.5274322433854</v>
      </c>
      <c r="C142" s="33">
        <f>SUM('Posição da carteira - mensal'!F70,'Posição da carteira - mensal'!P70,'Posição da carteira - mensal'!G70,'Posição da carteira - mensal'!H70,'Posição da carteira - mensal'!M70,'Posição da carteira - mensal'!O70,'Posição da carteira - mensal'!AC70)/B142</f>
        <v>0.467601007842196</v>
      </c>
      <c r="D142" s="33">
        <v>0</v>
      </c>
      <c r="E142" s="33">
        <f>SUM('Posição da carteira - mensal'!B70,'Posição da carteira - mensal'!C70)/B142</f>
        <v>0.42681683880048743</v>
      </c>
      <c r="F142" s="33">
        <f>SUM('Posição da carteira - mensal'!Q70,'Posição da carteira - mensal'!S70,'Posição da carteira - mensal'!T70)/B142</f>
        <v>0.04141001257631602</v>
      </c>
      <c r="G142" s="33">
        <f>SUM('Posição da carteira - mensal'!L70,'Posição da carteira - mensal'!N70)/B142</f>
        <v>0.01225996608438675</v>
      </c>
      <c r="H142" s="33">
        <f>SUM('Posição da carteira - mensal'!E70,'Posição da carteira - mensal'!I70,'Posição da carteira - mensal'!J70,'Posição da carteira - mensal'!K70,'Posição da carteira - mensal'!AA70,'Posição da carteira - mensal'!AB70)/B142</f>
        <v>0.05191217469661379</v>
      </c>
    </row>
    <row r="143" spans="1:8" ht="12.75">
      <c r="A143" s="28">
        <v>42309</v>
      </c>
      <c r="B143" s="29">
        <f>SUM('Posição da carteira - mensal'!B71,'Posição da carteira - mensal'!C71,'Posição da carteira - mensal'!E71,'Posição da carteira - mensal'!F71,'Posição da carteira - mensal'!G71,'Posição da carteira - mensal'!H71,'Posição da carteira - mensal'!I71,'Posição da carteira - mensal'!J71,'Posição da carteira - mensal'!K71,'Posição da carteira - mensal'!L71,'Posição da carteira - mensal'!M71,'Posição da carteira - mensal'!N71,'Posição da carteira - mensal'!O71,'Posição da carteira - mensal'!P71,'Posição da carteira - mensal'!Q71,'Posição da carteira - mensal'!S71,'Posição da carteira - mensal'!T71,'Posição da carteira - mensal'!AB71,'Posição da carteira - mensal'!AC71,'Posição da carteira - mensal'!AA71)</f>
        <v>280.70853067599853</v>
      </c>
      <c r="C143" s="33">
        <f>SUM('Posição da carteira - mensal'!F71,'Posição da carteira - mensal'!P71,'Posição da carteira - mensal'!G71,'Posição da carteira - mensal'!H71,'Posição da carteira - mensal'!M71,'Posição da carteira - mensal'!O71,'Posição da carteira - mensal'!AC71)/B143</f>
        <v>0.47759173070755045</v>
      </c>
      <c r="D143" s="33">
        <v>0</v>
      </c>
      <c r="E143" s="33">
        <f>SUM('Posição da carteira - mensal'!B71,'Posição da carteira - mensal'!C71)/B143</f>
        <v>0.415281003496094</v>
      </c>
      <c r="F143" s="33">
        <f>SUM('Posição da carteira - mensal'!Q71,'Posição da carteira - mensal'!S71,'Posição da carteira - mensal'!T71)/B143</f>
        <v>0.04618676104615131</v>
      </c>
      <c r="G143" s="33">
        <f>SUM('Posição da carteira - mensal'!L71,'Posição da carteira - mensal'!N71)/B143</f>
        <v>0.013171741707862984</v>
      </c>
      <c r="H143" s="33">
        <f>SUM('Posição da carteira - mensal'!E71,'Posição da carteira - mensal'!I71,'Posição da carteira - mensal'!J71,'Posição da carteira - mensal'!K71,'Posição da carteira - mensal'!AA71,'Posição da carteira - mensal'!AB71)/B143</f>
        <v>0.047768763042341365</v>
      </c>
    </row>
    <row r="144" spans="1:8" ht="12.75">
      <c r="A144" s="28">
        <v>42339</v>
      </c>
      <c r="B144" s="29">
        <f>SUM('Posição da carteira - mensal'!B72,'Posição da carteira - mensal'!C72,'Posição da carteira - mensal'!E72,'Posição da carteira - mensal'!F72,'Posição da carteira - mensal'!G72,'Posição da carteira - mensal'!H72,'Posição da carteira - mensal'!I72,'Posição da carteira - mensal'!J72,'Posição da carteira - mensal'!K72,'Posição da carteira - mensal'!L72,'Posição da carteira - mensal'!M72,'Posição da carteira - mensal'!N72,'Posição da carteira - mensal'!O72,'Posição da carteira - mensal'!P72,'Posição da carteira - mensal'!Q72,'Posição da carteira - mensal'!S72,'Posição da carteira - mensal'!T72,'Posição da carteira - mensal'!AB72,'Posição da carteira - mensal'!AC72,'Posição da carteira - mensal'!AA72)</f>
        <v>269.9997329463737</v>
      </c>
      <c r="C144" s="33">
        <f>SUM('Posição da carteira - mensal'!F72,'Posição da carteira - mensal'!P72,'Posição da carteira - mensal'!G72,'Posição da carteira - mensal'!H72,'Posição da carteira - mensal'!M72,'Posição da carteira - mensal'!O72,'Posição da carteira - mensal'!AC72)/B144</f>
        <v>0.4844831779430991</v>
      </c>
      <c r="D144" s="33">
        <v>0</v>
      </c>
      <c r="E144" s="33">
        <f>SUM('Posição da carteira - mensal'!B72,'Posição da carteira - mensal'!C72)/B144</f>
        <v>0.4050520831992789</v>
      </c>
      <c r="F144" s="33">
        <f>SUM('Posição da carteira - mensal'!Q72,'Posição da carteira - mensal'!S72,'Posição da carteira - mensal'!T72)/B144</f>
        <v>0.04525627498713479</v>
      </c>
      <c r="G144" s="33">
        <f>SUM('Posição da carteira - mensal'!L72,'Posição da carteira - mensal'!N72)/B144</f>
        <v>0.013697194672379797</v>
      </c>
      <c r="H144" s="33">
        <f>SUM('Posição da carteira - mensal'!E72,'Posição da carteira - mensal'!I72,'Posição da carteira - mensal'!J72,'Posição da carteira - mensal'!K72,'Posição da carteira - mensal'!AA72,'Posição da carteira - mensal'!AB72)/B144</f>
        <v>0.05151126919810748</v>
      </c>
    </row>
    <row r="145" spans="1:8" ht="12.75">
      <c r="A145" s="28">
        <v>42370</v>
      </c>
      <c r="B145" s="29">
        <f>SUM('Posição da carteira - mensal'!B73,'Posição da carteira - mensal'!C73,'Posição da carteira - mensal'!E73,'Posição da carteira - mensal'!F73,'Posição da carteira - mensal'!G73,'Posição da carteira - mensal'!H73,'Posição da carteira - mensal'!I73,'Posição da carteira - mensal'!J73,'Posição da carteira - mensal'!K73,'Posição da carteira - mensal'!L73,'Posição da carteira - mensal'!M73,'Posição da carteira - mensal'!N73,'Posição da carteira - mensal'!O73,'Posição da carteira - mensal'!P73,'Posição da carteira - mensal'!Q73,'Posição da carteira - mensal'!S73,'Posição da carteira - mensal'!T73,'Posição da carteira - mensal'!AB73,'Posição da carteira - mensal'!AC73,'Posição da carteira - mensal'!AA73)</f>
        <v>244.64633285693085</v>
      </c>
      <c r="C145" s="33">
        <f>SUM('Posição da carteira - mensal'!F73,'Posição da carteira - mensal'!P73,'Posição da carteira - mensal'!G73,'Posição da carteira - mensal'!H73,'Posição da carteira - mensal'!M73,'Posição da carteira - mensal'!O73,'Posição da carteira - mensal'!AC73)/B145</f>
        <v>0.5181732528661418</v>
      </c>
      <c r="D145" s="33">
        <v>0</v>
      </c>
      <c r="E145" s="33">
        <f>SUM('Posição da carteira - mensal'!B73,'Posição da carteira - mensal'!C73)/B145</f>
        <v>0.3958476097470032</v>
      </c>
      <c r="F145" s="33">
        <f>SUM('Posição da carteira - mensal'!Q73,'Posição da carteira - mensal'!S73,'Posição da carteira - mensal'!T73)/B145</f>
        <v>0.016789319104190212</v>
      </c>
      <c r="G145" s="33">
        <f>SUM('Posição da carteira - mensal'!L73,'Posição da carteira - mensal'!N73)/B145</f>
        <v>0.0149429438029656</v>
      </c>
      <c r="H145" s="33">
        <f>SUM('Posição da carteira - mensal'!E73,'Posição da carteira - mensal'!I73,'Posição da carteira - mensal'!J73,'Posição da carteira - mensal'!K73,'Posição da carteira - mensal'!AA73,'Posição da carteira - mensal'!AB73)/B145</f>
        <v>0.05424687447969916</v>
      </c>
    </row>
    <row r="146" spans="1:8" ht="12.75">
      <c r="A146" s="28">
        <v>42401</v>
      </c>
      <c r="B146" s="29">
        <f>SUM('Posição da carteira - mensal'!B74,'Posição da carteira - mensal'!C74,'Posição da carteira - mensal'!E74,'Posição da carteira - mensal'!F74,'Posição da carteira - mensal'!G74,'Posição da carteira - mensal'!H74,'Posição da carteira - mensal'!I74,'Posição da carteira - mensal'!J74,'Posição da carteira - mensal'!K74,'Posição da carteira - mensal'!L74,'Posição da carteira - mensal'!M74,'Posição da carteira - mensal'!N74,'Posição da carteira - mensal'!O74,'Posição da carteira - mensal'!P74,'Posição da carteira - mensal'!Q74,'Posição da carteira - mensal'!S74,'Posição da carteira - mensal'!T74,'Posição da carteira - mensal'!AB74,'Posição da carteira - mensal'!AC74,'Posição da carteira - mensal'!AA74)</f>
        <v>253.2952658882802</v>
      </c>
      <c r="C146" s="33">
        <f>SUM('Posição da carteira - mensal'!F74,'Posição da carteira - mensal'!P74,'Posição da carteira - mensal'!G74,'Posição da carteira - mensal'!H74,'Posição da carteira - mensal'!M74,'Posição da carteira - mensal'!O74,'Posição da carteira - mensal'!AC74)/B146</f>
        <v>0.4990724386617744</v>
      </c>
      <c r="D146" s="33">
        <v>0</v>
      </c>
      <c r="E146" s="33">
        <f>SUM('Posição da carteira - mensal'!B74,'Posição da carteira - mensal'!C74)/B146</f>
        <v>0.41817004906803273</v>
      </c>
      <c r="F146" s="33">
        <f>SUM('Posição da carteira - mensal'!Q74,'Posição da carteira - mensal'!S74,'Posição da carteira - mensal'!T74)/B146</f>
        <v>0.013684754205591728</v>
      </c>
      <c r="G146" s="33">
        <f>SUM('Posição da carteira - mensal'!L74,'Posição da carteira - mensal'!N74)/B146</f>
        <v>0.01474524326183643</v>
      </c>
      <c r="H146" s="33">
        <f>SUM('Posição da carteira - mensal'!E74,'Posição da carteira - mensal'!I74,'Posição da carteira - mensal'!J74,'Posição da carteira - mensal'!K74,'Posição da carteira - mensal'!AA74,'Posição da carteira - mensal'!AB74)/B146</f>
        <v>0.054327514802764765</v>
      </c>
    </row>
    <row r="147" spans="1:8" ht="12.75">
      <c r="A147" s="28">
        <v>42430</v>
      </c>
      <c r="B147" s="29">
        <f>SUM('Posição da carteira - mensal'!B75,'Posição da carteira - mensal'!C75,'Posição da carteira - mensal'!E75,'Posição da carteira - mensal'!F75,'Posição da carteira - mensal'!G75,'Posição da carteira - mensal'!H75,'Posição da carteira - mensal'!I75,'Posição da carteira - mensal'!J75,'Posição da carteira - mensal'!K75,'Posição da carteira - mensal'!L75,'Posição da carteira - mensal'!M75,'Posição da carteira - mensal'!N75,'Posição da carteira - mensal'!O75,'Posição da carteira - mensal'!P75,'Posição da carteira - mensal'!Q75,'Posição da carteira - mensal'!S75,'Posição da carteira - mensal'!T75,'Posição da carteira - mensal'!AB75,'Posição da carteira - mensal'!AC75,'Posição da carteira - mensal'!AA75)</f>
        <v>305.62391061423483</v>
      </c>
      <c r="C147" s="33">
        <f>SUM('Posição da carteira - mensal'!F75,'Posição da carteira - mensal'!P75,'Posição da carteira - mensal'!G75,'Posição da carteira - mensal'!H75,'Posição da carteira - mensal'!M75,'Posição da carteira - mensal'!O75,'Posição da carteira - mensal'!AC75)/B147</f>
        <v>0.4635889219631043</v>
      </c>
      <c r="D147" s="33">
        <v>0</v>
      </c>
      <c r="E147" s="33">
        <f>SUM('Posição da carteira - mensal'!B75,'Posição da carteira - mensal'!C75)/B147</f>
        <v>0.4524484731780921</v>
      </c>
      <c r="F147" s="33">
        <f>SUM('Posição da carteira - mensal'!Q75,'Posição da carteira - mensal'!S75,'Posição da carteira - mensal'!T75)/B147</f>
        <v>0.01722470036568633</v>
      </c>
      <c r="G147" s="33">
        <f>SUM('Posição da carteira - mensal'!L75,'Posição da carteira - mensal'!N75)/B147</f>
        <v>0.013841205632113504</v>
      </c>
      <c r="H147" s="33">
        <f>SUM('Posição da carteira - mensal'!E75,'Posição da carteira - mensal'!I75,'Posição da carteira - mensal'!J75,'Posição da carteira - mensal'!K75,'Posição da carteira - mensal'!AA75,'Posição da carteira - mensal'!AB75)/B147</f>
        <v>0.05289669886100343</v>
      </c>
    </row>
    <row r="148" spans="1:8" ht="12.75">
      <c r="A148" s="28">
        <v>42461</v>
      </c>
      <c r="B148" s="29">
        <f>SUM('Posição da carteira - mensal'!B76,'Posição da carteira - mensal'!C76,'Posição da carteira - mensal'!E76,'Posição da carteira - mensal'!F76,'Posição da carteira - mensal'!G76,'Posição da carteira - mensal'!H76,'Posição da carteira - mensal'!I76,'Posição da carteira - mensal'!J76,'Posição da carteira - mensal'!K76,'Posição da carteira - mensal'!L76,'Posição da carteira - mensal'!M76,'Posição da carteira - mensal'!N76,'Posição da carteira - mensal'!O76,'Posição da carteira - mensal'!P76,'Posição da carteira - mensal'!Q76,'Posição da carteira - mensal'!S76,'Posição da carteira - mensal'!T76,'Posição da carteira - mensal'!AB76,'Posição da carteira - mensal'!AC76,'Posição da carteira - mensal'!AA76)</f>
        <v>327.3898199417527</v>
      </c>
      <c r="C148" s="33">
        <f>SUM('Posição da carteira - mensal'!F76,'Posição da carteira - mensal'!P76,'Posição da carteira - mensal'!G76,'Posição da carteira - mensal'!H76,'Posição da carteira - mensal'!M76,'Posição da carteira - mensal'!O76,'Posição da carteira - mensal'!AC76)/B148</f>
        <v>0.455615941138598</v>
      </c>
      <c r="D148" s="33">
        <v>0</v>
      </c>
      <c r="E148" s="33">
        <f>SUM('Posição da carteira - mensal'!B76,'Posição da carteira - mensal'!C76)/B148</f>
        <v>0.46597152617138826</v>
      </c>
      <c r="F148" s="33">
        <f>SUM('Posição da carteira - mensal'!Q76,'Posição da carteira - mensal'!S76,'Posição da carteira - mensal'!T76)/B148</f>
        <v>0.017158480691017747</v>
      </c>
      <c r="G148" s="33">
        <f>SUM('Posição da carteira - mensal'!L76,'Posição da carteira - mensal'!N76)/B148</f>
        <v>0.013365970018418995</v>
      </c>
      <c r="H148" s="33">
        <f>SUM('Posição da carteira - mensal'!E76,'Posição da carteira - mensal'!I76,'Posição da carteira - mensal'!J76,'Posição da carteira - mensal'!K76,'Posição da carteira - mensal'!AA76,'Posição da carteira - mensal'!AB76)/B148</f>
        <v>0.047888081980576806</v>
      </c>
    </row>
    <row r="149" spans="1:8" ht="12.75">
      <c r="A149" s="28">
        <v>42491</v>
      </c>
      <c r="B149" s="29">
        <f>SUM('Posição da carteira - mensal'!B77,'Posição da carteira - mensal'!C77,'Posição da carteira - mensal'!E77,'Posição da carteira - mensal'!F77,'Posição da carteira - mensal'!G77,'Posição da carteira - mensal'!H77,'Posição da carteira - mensal'!I77,'Posição da carteira - mensal'!J77,'Posição da carteira - mensal'!K77,'Posição da carteira - mensal'!L77,'Posição da carteira - mensal'!M77,'Posição da carteira - mensal'!N77,'Posição da carteira - mensal'!O77,'Posição da carteira - mensal'!P77,'Posição da carteira - mensal'!Q77,'Posição da carteira - mensal'!S77,'Posição da carteira - mensal'!T77,'Posição da carteira - mensal'!AB77,'Posição da carteira - mensal'!AC77,'Posição da carteira - mensal'!AA77)</f>
        <v>308.4820952476982</v>
      </c>
      <c r="C149" s="33">
        <f>SUM('Posição da carteira - mensal'!F77,'Posição da carteira - mensal'!P77,'Posição da carteira - mensal'!G77,'Posição da carteira - mensal'!H77,'Posição da carteira - mensal'!M77,'Posição da carteira - mensal'!O77,'Posição da carteira - mensal'!AC77)/B149</f>
        <v>0.45460725710085226</v>
      </c>
      <c r="D149" s="33">
        <v>0</v>
      </c>
      <c r="E149" s="33">
        <f>SUM('Posição da carteira - mensal'!B77,'Posição da carteira - mensal'!C77)/B149</f>
        <v>0.4641187609369149</v>
      </c>
      <c r="F149" s="33">
        <f>SUM('Posição da carteira - mensal'!Q77,'Posição da carteira - mensal'!S77,'Posição da carteira - mensal'!T77)/B149</f>
        <v>0.016094189735140926</v>
      </c>
      <c r="G149" s="33">
        <f>SUM('Posição da carteira - mensal'!L77,'Posição da carteira - mensal'!N77)/B149</f>
        <v>0.013734997634961535</v>
      </c>
      <c r="H149" s="33">
        <f>SUM('Posição da carteira - mensal'!E77,'Posição da carteira - mensal'!I77,'Posição da carteira - mensal'!J77,'Posição da carteira - mensal'!K77,'Posição da carteira - mensal'!AA77,'Posição da carteira - mensal'!AB77)/B149</f>
        <v>0.05144479459213047</v>
      </c>
    </row>
    <row r="150" spans="1:8" ht="12.75">
      <c r="A150" s="28">
        <v>42522</v>
      </c>
      <c r="B150" s="29">
        <f>SUM('Posição da carteira - mensal'!B78,'Posição da carteira - mensal'!C78,'Posição da carteira - mensal'!E78,'Posição da carteira - mensal'!F78,'Posição da carteira - mensal'!G78,'Posição da carteira - mensal'!H78,'Posição da carteira - mensal'!I78,'Posição da carteira - mensal'!J78,'Posição da carteira - mensal'!K78,'Posição da carteira - mensal'!L78,'Posição da carteira - mensal'!M78,'Posição da carteira - mensal'!N78,'Posição da carteira - mensal'!O78,'Posição da carteira - mensal'!P78,'Posição da carteira - mensal'!Q78,'Posição da carteira - mensal'!S78,'Posição da carteira - mensal'!T78,'Posição da carteira - mensal'!AB78,'Posição da carteira - mensal'!AC78,'Posição da carteira - mensal'!AA78)</f>
        <v>352.06788204872583</v>
      </c>
      <c r="C150" s="33">
        <f>SUM('Posição da carteira - mensal'!F78,'Posição da carteira - mensal'!P78,'Posição da carteira - mensal'!G78,'Posição da carteira - mensal'!H78,'Posição da carteira - mensal'!M78,'Posição da carteira - mensal'!O78,'Posição da carteira - mensal'!AC78)/B150</f>
        <v>0.45705065253802796</v>
      </c>
      <c r="D150" s="33">
        <v>0</v>
      </c>
      <c r="E150" s="33">
        <f>SUM('Posição da carteira - mensal'!B78,'Posição da carteira - mensal'!C78)/B150</f>
        <v>0.46649774966917673</v>
      </c>
      <c r="F150" s="33">
        <f>SUM('Posição da carteira - mensal'!Q78,'Posição da carteira - mensal'!S78,'Posição da carteira - mensal'!T78)/B150</f>
        <v>0.01534930366926002</v>
      </c>
      <c r="G150" s="33">
        <f>SUM('Posição da carteira - mensal'!L78,'Posição da carteira - mensal'!N78)/B150</f>
        <v>0.011096244268925687</v>
      </c>
      <c r="H150" s="33">
        <f>SUM('Posição da carteira - mensal'!E78,'Posição da carteira - mensal'!I78,'Posição da carteira - mensal'!J78,'Posição da carteira - mensal'!K78,'Posição da carteira - mensal'!AA78,'Posição da carteira - mensal'!AB78)/B150</f>
        <v>0.0500060498546094</v>
      </c>
    </row>
  </sheetData>
  <sheetProtection/>
  <mergeCells count="1">
    <mergeCell ref="B11:H11"/>
  </mergeCells>
  <conditionalFormatting sqref="A13:A150">
    <cfRule type="cellIs" priority="55" dxfId="0" operator="greaterThan" stopIfTrue="1">
      <formula>"hoje()"</formula>
    </cfRule>
  </conditionalFormatting>
  <conditionalFormatting sqref="A130:A150">
    <cfRule type="cellIs" priority="7" dxfId="0" operator="greaterThan" stopIfTrue="1">
      <formula>"hoje()"</formula>
    </cfRule>
  </conditionalFormatting>
  <conditionalFormatting sqref="A136:A139">
    <cfRule type="cellIs" priority="6" dxfId="0" operator="greaterThan" stopIfTrue="1">
      <formula>"hoje()"</formula>
    </cfRule>
  </conditionalFormatting>
  <conditionalFormatting sqref="A136:A139">
    <cfRule type="cellIs" priority="5" dxfId="0" operator="greaterThan" stopIfTrue="1">
      <formula>"hoje()"</formula>
    </cfRule>
  </conditionalFormatting>
  <conditionalFormatting sqref="A140:A150">
    <cfRule type="cellIs" priority="4" dxfId="0" operator="greaterThan" stopIfTrue="1">
      <formula>"hoje()"</formula>
    </cfRule>
  </conditionalFormatting>
  <conditionalFormatting sqref="A140:A150">
    <cfRule type="cellIs" priority="3" dxfId="0" operator="greaterThan" stopIfTrue="1">
      <formula>"hoje()"</formula>
    </cfRule>
  </conditionalFormatting>
  <conditionalFormatting sqref="A140:A150">
    <cfRule type="cellIs" priority="2" dxfId="0" operator="greaterThan" stopIfTrue="1">
      <formula>"hoje()"</formula>
    </cfRule>
  </conditionalFormatting>
  <conditionalFormatting sqref="A140:A150">
    <cfRule type="cellIs" priority="1" dxfId="0" operator="greaterThan" stopIfTrue="1">
      <formula>"hoje()"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5">
      <selection activeCell="A28" sqref="A28"/>
    </sheetView>
  </sheetViews>
  <sheetFormatPr defaultColWidth="9.140625" defaultRowHeight="12.75"/>
  <cols>
    <col min="1" max="1" width="21.57421875" style="0" customWidth="1"/>
    <col min="2" max="2" width="17.28125" style="0" customWidth="1"/>
    <col min="3" max="3" width="16.7109375" style="0" customWidth="1"/>
    <col min="4" max="5" width="14.7109375" style="0" customWidth="1"/>
    <col min="6" max="6" width="15.28125" style="0" customWidth="1"/>
    <col min="7" max="7" width="14.57421875" style="0" customWidth="1"/>
    <col min="8" max="8" width="13.00390625" style="0" customWidth="1"/>
  </cols>
  <sheetData>
    <row r="1" spans="1:7" ht="12.75">
      <c r="A1" s="16" t="s">
        <v>41</v>
      </c>
      <c r="B1" s="1"/>
      <c r="C1" s="2"/>
      <c r="D1" s="2"/>
      <c r="E1" s="2"/>
      <c r="F1" s="3"/>
      <c r="G1" s="2"/>
    </row>
    <row r="2" spans="1:7" ht="12.75">
      <c r="A2" s="16"/>
      <c r="B2" s="1"/>
      <c r="C2" s="2"/>
      <c r="D2" s="2"/>
      <c r="E2" s="2"/>
      <c r="F2" s="3"/>
      <c r="G2" s="2"/>
    </row>
    <row r="3" spans="1:7" ht="12.75">
      <c r="A3" s="17"/>
      <c r="B3" s="18"/>
      <c r="C3" s="18"/>
      <c r="D3" s="18"/>
      <c r="E3" s="18"/>
      <c r="F3" s="19"/>
      <c r="G3" s="2"/>
    </row>
    <row r="4" spans="1:7" ht="12.75">
      <c r="A4" s="20"/>
      <c r="B4" s="21"/>
      <c r="C4" s="21"/>
      <c r="D4" s="21"/>
      <c r="E4" s="21"/>
      <c r="F4" s="22"/>
      <c r="G4" s="2"/>
    </row>
    <row r="5" spans="1:7" ht="12.75">
      <c r="A5" s="20"/>
      <c r="B5" s="21"/>
      <c r="C5" s="21"/>
      <c r="D5" s="21"/>
      <c r="E5" s="21"/>
      <c r="F5" s="22"/>
      <c r="G5" s="2"/>
    </row>
    <row r="6" spans="1:7" ht="12.75">
      <c r="A6" s="23"/>
      <c r="B6" s="24"/>
      <c r="C6" s="24"/>
      <c r="D6" s="24"/>
      <c r="E6" s="24"/>
      <c r="F6" s="25"/>
      <c r="G6" s="2"/>
    </row>
    <row r="11" ht="22.5" customHeight="1" thickBot="1"/>
    <row r="12" spans="1:8" ht="39" thickBot="1">
      <c r="A12" s="35" t="s">
        <v>7</v>
      </c>
      <c r="B12" s="34" t="s">
        <v>12</v>
      </c>
      <c r="C12" s="34" t="s">
        <v>1</v>
      </c>
      <c r="D12" s="34" t="s">
        <v>2</v>
      </c>
      <c r="E12" s="34" t="s">
        <v>3</v>
      </c>
      <c r="F12" s="34" t="s">
        <v>4</v>
      </c>
      <c r="G12" s="34" t="s">
        <v>5</v>
      </c>
      <c r="H12" s="34" t="s">
        <v>6</v>
      </c>
    </row>
    <row r="13" spans="1:8" ht="12.75">
      <c r="A13" s="36">
        <v>2001</v>
      </c>
      <c r="B13" s="29">
        <v>15.5</v>
      </c>
      <c r="C13" s="33">
        <v>0.09322755985016377</v>
      </c>
      <c r="D13" s="33">
        <v>0.0001</v>
      </c>
      <c r="E13" s="33">
        <v>0.8845000000000001</v>
      </c>
      <c r="F13" s="33">
        <v>0.0029044113826999403</v>
      </c>
      <c r="G13" s="33">
        <v>0.007310937442863266</v>
      </c>
      <c r="H13" s="33">
        <v>0.012099999999999795</v>
      </c>
    </row>
    <row r="14" spans="1:8" ht="12.75">
      <c r="A14" s="36">
        <v>2002</v>
      </c>
      <c r="B14" s="29">
        <v>10.4</v>
      </c>
      <c r="C14" s="33">
        <v>0.21514869321305208</v>
      </c>
      <c r="D14" s="33">
        <v>0.0001</v>
      </c>
      <c r="E14" s="33">
        <v>0.747</v>
      </c>
      <c r="F14" s="33">
        <v>0.023482870406384918</v>
      </c>
      <c r="G14" s="33">
        <v>0.01154511719218188</v>
      </c>
      <c r="H14" s="33">
        <v>0.0019999999999998864</v>
      </c>
    </row>
    <row r="15" spans="1:8" ht="12.75">
      <c r="A15" s="36">
        <v>2003</v>
      </c>
      <c r="B15" s="29">
        <v>20.12</v>
      </c>
      <c r="C15" s="33">
        <v>0.11599999999999999</v>
      </c>
      <c r="D15" s="33">
        <v>0.0001</v>
      </c>
      <c r="E15" s="33">
        <v>0.8679000000000001</v>
      </c>
      <c r="F15" s="33">
        <v>0.0062</v>
      </c>
      <c r="G15" s="33">
        <v>0.0068000000000000005</v>
      </c>
      <c r="H15" s="33">
        <v>0.0029</v>
      </c>
    </row>
    <row r="16" spans="1:8" ht="12.75">
      <c r="A16" s="36">
        <v>2004</v>
      </c>
      <c r="B16" s="29">
        <v>29.066</v>
      </c>
      <c r="C16" s="33">
        <v>0.0828</v>
      </c>
      <c r="D16" s="33">
        <v>0</v>
      </c>
      <c r="E16" s="33">
        <v>0.901</v>
      </c>
      <c r="F16" s="33">
        <v>0.011</v>
      </c>
      <c r="G16" s="33">
        <v>0.0024</v>
      </c>
      <c r="H16" s="33">
        <v>0.0027</v>
      </c>
    </row>
    <row r="17" spans="1:8" ht="12.75">
      <c r="A17" s="36">
        <v>2005</v>
      </c>
      <c r="B17" s="29">
        <f>'Valor investimentos - mensal'!B24</f>
        <v>53.438</v>
      </c>
      <c r="C17" s="33">
        <f>'Valor investimentos - mensal'!C24</f>
        <v>0.0684</v>
      </c>
      <c r="D17" s="33">
        <f>'Valor investimentos - mensal'!D24</f>
        <v>0</v>
      </c>
      <c r="E17" s="33">
        <f>'Valor investimentos - mensal'!E24</f>
        <v>0.9099</v>
      </c>
      <c r="F17" s="33">
        <f>'Valor investimentos - mensal'!F24</f>
        <v>0.0041</v>
      </c>
      <c r="G17" s="33">
        <f>'Valor investimentos - mensal'!G24</f>
        <v>0.0023</v>
      </c>
      <c r="H17" s="33">
        <f>'Valor investimentos - mensal'!H24</f>
        <v>0.0153</v>
      </c>
    </row>
    <row r="18" spans="1:8" ht="12.75">
      <c r="A18" s="36">
        <v>2006</v>
      </c>
      <c r="B18" s="29">
        <f>'Valor investimentos - mensal'!B36</f>
        <v>101.60116423526661</v>
      </c>
      <c r="C18" s="33">
        <f>'Valor investimentos - mensal'!C36</f>
        <v>0.1688642859891663</v>
      </c>
      <c r="D18" s="33">
        <f>'Valor investimentos - mensal'!D36</f>
        <v>0</v>
      </c>
      <c r="E18" s="33">
        <f>'Valor investimentos - mensal'!E36</f>
        <v>0.8168563548023822</v>
      </c>
      <c r="F18" s="33">
        <f>'Valor investimentos - mensal'!F36</f>
        <v>0.004376014398756471</v>
      </c>
      <c r="G18" s="33">
        <f>'Valor investimentos - mensal'!G36</f>
        <v>0.0031733169944388523</v>
      </c>
      <c r="H18" s="33">
        <f>'Valor investimentos - mensal'!H36</f>
        <v>0.006730027815256247</v>
      </c>
    </row>
    <row r="19" spans="1:8" ht="12.75">
      <c r="A19" s="36">
        <v>2007</v>
      </c>
      <c r="B19" s="29">
        <f>'Valor investimentos - mensal'!B48</f>
        <v>214.110578269632</v>
      </c>
      <c r="C19" s="33">
        <f>'Valor investimentos - mensal'!C48</f>
        <v>0.19045561075541037</v>
      </c>
      <c r="D19" s="33">
        <f>'Valor investimentos - mensal'!D48</f>
        <v>0</v>
      </c>
      <c r="E19" s="33">
        <f>'Valor investimentos - mensal'!E48</f>
        <v>0.7739363795308551</v>
      </c>
      <c r="F19" s="33">
        <f>'Valor investimentos - mensal'!F48</f>
        <v>0.00827280554807909</v>
      </c>
      <c r="G19" s="33">
        <f>'Valor investimentos - mensal'!G48</f>
        <v>0.0004646035657825379</v>
      </c>
      <c r="H19" s="33">
        <f>'Valor investimentos - mensal'!H48</f>
        <v>0.02687060059987279</v>
      </c>
    </row>
    <row r="20" spans="1:8" ht="12.75">
      <c r="A20" s="36">
        <v>2008</v>
      </c>
      <c r="B20" s="29">
        <f>'Valor investimentos - mensal'!B60</f>
        <v>123.0887631638853</v>
      </c>
      <c r="C20" s="33">
        <f>'Valor investimentos - mensal'!C60</f>
        <v>0.35469929101118625</v>
      </c>
      <c r="D20" s="33">
        <f>'Valor investimentos - mensal'!D60</f>
        <v>0</v>
      </c>
      <c r="E20" s="33">
        <f>'Valor investimentos - mensal'!E60</f>
        <v>0.5796635320580773</v>
      </c>
      <c r="F20" s="33">
        <f>'Valor investimentos - mensal'!F60</f>
        <v>0.01990508039907979</v>
      </c>
      <c r="G20" s="33">
        <f>'Valor investimentos - mensal'!G60</f>
        <v>0.0031558052964958077</v>
      </c>
      <c r="H20" s="33">
        <f>'Valor investimentos - mensal'!H60</f>
        <v>0.04257629123516097</v>
      </c>
    </row>
    <row r="21" spans="1:8" ht="12.75">
      <c r="A21" s="36">
        <v>2009</v>
      </c>
      <c r="B21" s="29">
        <f>'Valor investimentos - mensal'!B72</f>
        <v>304.373201272111</v>
      </c>
      <c r="C21" s="33">
        <f>'Valor investimentos - mensal'!C72</f>
        <v>0.27717735541583094</v>
      </c>
      <c r="D21" s="33">
        <f>'Valor investimentos - mensal'!D72</f>
        <v>0</v>
      </c>
      <c r="E21" s="33">
        <f>'Valor investimentos - mensal'!E72</f>
        <v>0.6740367021217003</v>
      </c>
      <c r="F21" s="33">
        <f>'Valor investimentos - mensal'!F72</f>
        <v>0.011212060386603903</v>
      </c>
      <c r="G21" s="33">
        <f>'Valor investimentos - mensal'!G72</f>
        <v>0.0015071838004836388</v>
      </c>
      <c r="H21" s="33">
        <f>'Valor investimentos - mensal'!H72</f>
        <v>0.036066698275381046</v>
      </c>
    </row>
    <row r="22" spans="1:8" ht="12.75">
      <c r="A22" s="36">
        <v>2010</v>
      </c>
      <c r="B22" s="29">
        <f>'Valor investimentos - mensal'!B84</f>
        <v>380.707266512424</v>
      </c>
      <c r="C22" s="33">
        <f>'Valor investimentos - mensal'!C84</f>
        <v>0.31331852412853983</v>
      </c>
      <c r="D22" s="33">
        <f>'Valor investimentos - mensal'!D84</f>
        <v>0</v>
      </c>
      <c r="E22" s="33">
        <f>'Valor investimentos - mensal'!E84</f>
        <v>0.6676888714288285</v>
      </c>
      <c r="F22" s="33">
        <f>'Valor investimentos - mensal'!F84</f>
        <v>0.009931640087018086</v>
      </c>
      <c r="G22" s="33">
        <f>'Valor investimentos - mensal'!G84</f>
        <v>0.0014891787617368824</v>
      </c>
      <c r="H22" s="33">
        <f>'Valor investimentos - mensal'!H84</f>
        <v>0.007571785593876574</v>
      </c>
    </row>
    <row r="23" spans="1:8" ht="12.75">
      <c r="A23" s="36">
        <v>2011</v>
      </c>
      <c r="B23" s="29">
        <f>'Valor investimentos - mensal'!B96</f>
        <v>350.4274279011621</v>
      </c>
      <c r="C23" s="33">
        <f>'Valor investimentos - mensal'!C96</f>
        <v>0.35015374980759606</v>
      </c>
      <c r="D23" s="33">
        <f>'Valor investimentos - mensal'!D96</f>
        <v>0</v>
      </c>
      <c r="E23" s="33">
        <f>'Valor investimentos - mensal'!E96</f>
        <v>0.6220599568832503</v>
      </c>
      <c r="F23" s="33">
        <f>'Valor investimentos - mensal'!F96</f>
        <v>0.013349377835364004</v>
      </c>
      <c r="G23" s="33">
        <f>'Valor investimentos - mensal'!G96</f>
        <v>0.0028555999250145956</v>
      </c>
      <c r="H23" s="33">
        <f>'Valor investimentos - mensal'!H96</f>
        <v>0.011581315548775194</v>
      </c>
    </row>
    <row r="24" spans="1:8" ht="12.75">
      <c r="A24" s="36">
        <v>2012</v>
      </c>
      <c r="B24" s="29">
        <f>'Valor investimentos - mensal'!B108</f>
        <v>398.6454576584291</v>
      </c>
      <c r="C24" s="33">
        <f>'Valor investimentos - mensal'!C108</f>
        <v>0.3923726364597892</v>
      </c>
      <c r="D24" s="33">
        <f>'Valor investimentos - mensal'!D108</f>
        <v>0</v>
      </c>
      <c r="E24" s="33">
        <f>'Valor investimentos - mensal'!E108</f>
        <v>0.5802419714131785</v>
      </c>
      <c r="F24" s="33">
        <f>'Valor investimentos - mensal'!F108</f>
        <v>0.007595441937288052</v>
      </c>
      <c r="G24" s="33">
        <f>'Valor investimentos - mensal'!G108</f>
        <v>0.004880385828821858</v>
      </c>
      <c r="H24" s="33">
        <f>'Valor investimentos - mensal'!H108</f>
        <v>0.014909564360922582</v>
      </c>
    </row>
    <row r="25" spans="1:8" ht="12.75">
      <c r="A25" s="36">
        <v>2013</v>
      </c>
      <c r="B25" s="29">
        <f>'Valor investimentos - mensal'!B120</f>
        <v>371.5938068338599</v>
      </c>
      <c r="C25" s="33">
        <f>'Valor investimentos - mensal'!C120</f>
        <v>0.39397298801985386</v>
      </c>
      <c r="D25" s="33">
        <f>'Valor investimentos - mensal'!D120</f>
        <v>0</v>
      </c>
      <c r="E25" s="33">
        <f>'Valor investimentos - mensal'!E120</f>
        <v>0.5474399510587856</v>
      </c>
      <c r="F25" s="33">
        <f>'Valor investimentos - mensal'!F120</f>
        <v>0.016942262868282067</v>
      </c>
      <c r="G25" s="33">
        <f>'Valor investimentos - mensal'!G120</f>
        <v>0.00722667713887922</v>
      </c>
      <c r="H25" s="33">
        <f>'Valor investimentos - mensal'!H120</f>
        <v>0.034418120914198894</v>
      </c>
    </row>
    <row r="26" spans="1:8" ht="12.75">
      <c r="A26" s="36">
        <v>2014</v>
      </c>
      <c r="B26" s="29">
        <f>'Valor investimentos - mensal'!B132</f>
        <v>399.0912196423462</v>
      </c>
      <c r="C26" s="33">
        <f>'Valor investimentos - mensal'!C132</f>
        <v>0.4028615047620404</v>
      </c>
      <c r="D26" s="33">
        <f>'Valor investimentos - mensal'!D132</f>
        <v>0</v>
      </c>
      <c r="E26" s="33">
        <f>'Valor investimentos - mensal'!E132</f>
        <v>0.45462850162149654</v>
      </c>
      <c r="F26" s="33">
        <f>'Valor investimentos - mensal'!F132</f>
        <v>0.09517627721525157</v>
      </c>
      <c r="G26" s="33">
        <f>'Valor investimentos - mensal'!G132</f>
        <v>0.010579473230247268</v>
      </c>
      <c r="H26" s="33">
        <f>'Valor investimentos - mensal'!H132</f>
        <v>0.03675424317096417</v>
      </c>
    </row>
    <row r="27" spans="1:8" ht="12.75">
      <c r="A27" s="36">
        <v>2015</v>
      </c>
      <c r="B27" s="29">
        <f>'Valor investimentos - mensal'!B144</f>
        <v>269.9997329463737</v>
      </c>
      <c r="C27" s="33">
        <f>'Valor investimentos - mensal'!C144</f>
        <v>0.4844831779430991</v>
      </c>
      <c r="D27" s="33">
        <f>'Valor investimentos - mensal'!D144</f>
        <v>0</v>
      </c>
      <c r="E27" s="33">
        <f>'Valor investimentos - mensal'!E144</f>
        <v>0.4050520831992789</v>
      </c>
      <c r="F27" s="33">
        <f>'Valor investimentos - mensal'!F144</f>
        <v>0.04525627498713479</v>
      </c>
      <c r="G27" s="33">
        <f>'Valor investimentos - mensal'!G144</f>
        <v>0.013697194672379797</v>
      </c>
      <c r="H27" s="33">
        <f>'Valor investimentos - mensal'!H144</f>
        <v>0.05151126919810748</v>
      </c>
    </row>
    <row r="28" spans="1:8" ht="12.75">
      <c r="A28" s="36" t="s">
        <v>53</v>
      </c>
      <c r="B28" s="29">
        <f>'Valor investimentos - mensal'!B150</f>
        <v>352.06788204872583</v>
      </c>
      <c r="C28" s="33">
        <f>'Valor investimentos - mensal'!C150</f>
        <v>0.45705065253802796</v>
      </c>
      <c r="D28" s="33">
        <f>'Valor investimentos - mensal'!D150</f>
        <v>0</v>
      </c>
      <c r="E28" s="33">
        <f>'Valor investimentos - mensal'!E150</f>
        <v>0.46649774966917673</v>
      </c>
      <c r="F28" s="33">
        <f>'Valor investimentos - mensal'!F150</f>
        <v>0.01534930366926002</v>
      </c>
      <c r="G28" s="33">
        <f>'Valor investimentos - mensal'!G150</f>
        <v>0.011096244268925687</v>
      </c>
      <c r="H28" s="33">
        <f>'Valor investimentos - mensal'!H150</f>
        <v>0.0500060498546094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alinea</dc:creator>
  <cp:keywords/>
  <dc:description/>
  <cp:lastModifiedBy>alinea</cp:lastModifiedBy>
  <dcterms:created xsi:type="dcterms:W3CDTF">2010-11-23T13:42:25Z</dcterms:created>
  <dcterms:modified xsi:type="dcterms:W3CDTF">2016-10-21T19:05:51Z</dcterms:modified>
  <cp:category/>
  <cp:version/>
  <cp:contentType/>
  <cp:contentStatus/>
</cp:coreProperties>
</file>